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5580-32\OneDrive - Helse Midt-Norge\Kvalitetskontroll\Røntgen\"/>
    </mc:Choice>
  </mc:AlternateContent>
  <bookViews>
    <workbookView xWindow="2715" yWindow="360" windowWidth="16080" windowHeight="11520" tabRatio="995" firstSheet="1" activeTab="9"/>
  </bookViews>
  <sheets>
    <sheet name="Start" sheetId="15" r:id="rId1"/>
    <sheet name="Målinger" sheetId="35" r:id="rId2"/>
    <sheet name="RaysafeData" sheetId="34" r:id="rId3"/>
    <sheet name="Sjekk Riktig Kammer" sheetId="59" r:id="rId4"/>
    <sheet name="Ghost Test" sheetId="58" r:id="rId5"/>
    <sheet name="U1_Forside" sheetId="45" r:id="rId6"/>
    <sheet name="U2_Oppsummering" sheetId="56" r:id="rId7"/>
    <sheet name="U3_Lys_Felt_DAP" sheetId="48" r:id="rId8"/>
    <sheet name="U4_Rør_Gen 1(2)" sheetId="49" r:id="rId9"/>
    <sheet name="U5_Rør_Gen 2(2)" sheetId="50" r:id="rId10"/>
    <sheet name="U6_AEC Bord" sheetId="51" r:id="rId11"/>
    <sheet name="U7_AEC Vegg" sheetId="52" r:id="rId12"/>
    <sheet name="U8_Bildekvalitet" sheetId="53" r:id="rId13"/>
    <sheet name="U9_kV-Diagram" sheetId="54" r:id="rId14"/>
    <sheet name="Prosedyrer" sheetId="57" r:id="rId15"/>
    <sheet name="Toleranser" sheetId="20" r:id="rId16"/>
    <sheet name="Hjelpfil" sheetId="21" r:id="rId17"/>
    <sheet name="DAP koeffisienter" sheetId="31" r:id="rId18"/>
  </sheets>
  <externalReferences>
    <externalReference r:id="rId19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Ref399158193" localSheetId="5">U1_Forside!#REF!</definedName>
    <definedName name="_Ref399158193" localSheetId="6">U2_Oppsummering!#REF!</definedName>
    <definedName name="_Ref399158193" localSheetId="7">U3_Lys_Felt_DAP!$B$21</definedName>
    <definedName name="_Ref399158193" localSheetId="8">'U4_Rør_Gen 1(2)'!#REF!</definedName>
    <definedName name="_Ref399158193" localSheetId="9">'U5_Rør_Gen 2(2)'!$B$66</definedName>
    <definedName name="_Ref399158193" localSheetId="10">'U6_AEC Bord'!$B$65</definedName>
    <definedName name="_Ref399158193" localSheetId="11">'U7_AEC Vegg'!$B$65</definedName>
    <definedName name="_Ref399158193" localSheetId="12">U8_Bildekvalitet!$B$63</definedName>
    <definedName name="_Ref399158193" localSheetId="13">'U9_kV-Diagram'!$B$61</definedName>
    <definedName name="Accuracy_Measure" localSheetId="6">[1]Accuracy!#REF!</definedName>
    <definedName name="Accuracy_Measure" localSheetId="7">[1]Accuracy!#REF!</definedName>
    <definedName name="Accuracy_Measure" localSheetId="8">[1]Accuracy!#REF!</definedName>
    <definedName name="Accuracy_Measure" localSheetId="9">[1]Accuracy!#REF!</definedName>
    <definedName name="Accuracy_Measure" localSheetId="10">[1]Accuracy!#REF!</definedName>
    <definedName name="Accuracy_Measure" localSheetId="11">[1]Accuracy!#REF!</definedName>
    <definedName name="Accuracy_Measure" localSheetId="12">[1]Accuracy!#REF!</definedName>
    <definedName name="Accuracy_Measure" localSheetId="13">[1]Accuracy!#REF!</definedName>
    <definedName name="Accuracy_Measure">[1]Accuracy!#REF!</definedName>
    <definedName name="AECtest" localSheetId="6" hidden="1">#REF!</definedName>
    <definedName name="AECtest" localSheetId="12" hidden="1">#REF!</definedName>
    <definedName name="AECtest" localSheetId="13" hidden="1">#REF!</definedName>
    <definedName name="AECtest" hidden="1">#REF!</definedName>
    <definedName name="Bildekval_Dynamisk_område">Hjelpfil!$C$13:$C$21</definedName>
    <definedName name="Bildekval_LKO">Hjelpfil!$A$13:$A$20</definedName>
    <definedName name="Bildekvalitet">Hjelpfil!$A$13:$A$20</definedName>
    <definedName name="dfhfhd" localSheetId="6">[1]Reproducibility!#REF!</definedName>
    <definedName name="dfhfhd">[1]Reproducibility!#REF!</definedName>
    <definedName name="ette" localSheetId="6">[1]Reproducibility!#REF!</definedName>
    <definedName name="ette">[1]Reproducibility!#REF!</definedName>
    <definedName name="Homogenitet">Hjelpfil!$E$13:$E$14</definedName>
    <definedName name="Info_Data">[1]Information!$D$8,[1]Information!$H$8,[1]Information!$D$10,[1]Information!$H$10,[1]Information!$D$12,[1]Information!$D$14,[1]Information!$D$17</definedName>
    <definedName name="Ja">Hjelpfil!$E$12</definedName>
    <definedName name="jette">[1]Reproducibility!#REF!</definedName>
    <definedName name="Kontrolltype">Hjelpfil!$A$2:$A$4</definedName>
    <definedName name="Lysfelt">Hjelpfil!$A$9:$A$10</definedName>
    <definedName name="ny" localSheetId="6">[1]Accuracy!#REF!</definedName>
    <definedName name="ny">[1]Accuracy!#REF!</definedName>
    <definedName name="Perp">Hjelpfil!$A$24:$A$26</definedName>
    <definedName name="Repro_Measure" localSheetId="6">[1]Reproducibility!#REF!</definedName>
    <definedName name="Repro_Measure" localSheetId="7">[1]Reproducibility!#REF!</definedName>
    <definedName name="Repro_Measure" localSheetId="8">[1]Reproducibility!#REF!</definedName>
    <definedName name="Repro_Measure" localSheetId="9">[1]Reproducibility!#REF!</definedName>
    <definedName name="Repro_Measure" localSheetId="10">[1]Reproducibility!#REF!</definedName>
    <definedName name="Repro_Measure" localSheetId="11">[1]Reproducibility!#REF!</definedName>
    <definedName name="Repro_Measure" localSheetId="12">[1]Reproducibility!#REF!</definedName>
    <definedName name="Repro_Measure" localSheetId="13">[1]Reproducibility!#REF!</definedName>
    <definedName name="Repro_Measure">[1]Reproducibility!#REF!</definedName>
    <definedName name="tesst" localSheetId="6">[1]Reproducibility!#REF!</definedName>
    <definedName name="tesst" localSheetId="11">[1]Reproducibility!#REF!</definedName>
    <definedName name="tesst" localSheetId="12">[1]Reproducibility!#REF!</definedName>
    <definedName name="tesst" localSheetId="13">[1]Reproducibility!#REF!</definedName>
    <definedName name="tesst">[1]Reproducibility!#REF!</definedName>
    <definedName name="trall" localSheetId="6">[1]Accuracy!#REF!</definedName>
    <definedName name="trall" localSheetId="13">[1]Accuracy!#REF!</definedName>
    <definedName name="trall">[1]Accuracy!#REF!</definedName>
    <definedName name="tralle" localSheetId="6">[1]Reproducibility!#REF!</definedName>
    <definedName name="tralle" localSheetId="10">[1]Reproducibility!#REF!</definedName>
    <definedName name="tralle" localSheetId="11">[1]Reproducibility!#REF!</definedName>
    <definedName name="tralle" localSheetId="12">[1]Reproducibility!#REF!</definedName>
    <definedName name="tralle" localSheetId="13">[1]Reproducibility!#REF!</definedName>
    <definedName name="tralle">[1]Reproducibility!#REF!</definedName>
    <definedName name="tull">Hjelpfil!$A$2:$A$4</definedName>
    <definedName name="tulleball" localSheetId="6">[1]Reproducibility!#REF!</definedName>
    <definedName name="tulleball" localSheetId="12">[1]Reproducibility!#REF!</definedName>
    <definedName name="tulleball" localSheetId="13">[1]Reproducibility!#REF!</definedName>
    <definedName name="tulleball">[1]Reproducibility!#REF!</definedName>
    <definedName name="utpost" localSheetId="6">[1]Reproducibility!#REF!</definedName>
    <definedName name="utpost" localSheetId="13">[1]Reproducibility!#REF!</definedName>
    <definedName name="utpost">[1]Reproducibility!#REF!</definedName>
    <definedName name="_xlnm.Print_Area" localSheetId="5">U1_Forside!$A$1:$I$51</definedName>
    <definedName name="_xlnm.Print_Area" localSheetId="7">U3_Lys_Felt_DAP!$A$1:$J$59</definedName>
    <definedName name="_xlnm.Print_Area" localSheetId="9">'U5_Rør_Gen 2(2)'!$A$1:$J$59</definedName>
    <definedName name="_xlnm.Print_Area" localSheetId="12">U8_Bildekvalitet!$A$1:$J$59</definedName>
  </definedNames>
  <calcPr calcId="162913"/>
</workbook>
</file>

<file path=xl/calcChain.xml><?xml version="1.0" encoding="utf-8"?>
<calcChain xmlns="http://schemas.openxmlformats.org/spreadsheetml/2006/main">
  <c r="F189" i="35" l="1"/>
  <c r="E189" i="35"/>
  <c r="F180" i="35"/>
  <c r="E180" i="35"/>
  <c r="E171" i="35"/>
  <c r="F171" i="35"/>
  <c r="F163" i="35"/>
  <c r="E163" i="35"/>
  <c r="I13" i="53" l="1"/>
  <c r="I14" i="53"/>
  <c r="I15" i="53"/>
  <c r="I16" i="53"/>
  <c r="H13" i="53"/>
  <c r="H14" i="53"/>
  <c r="H15" i="53"/>
  <c r="I22" i="53"/>
  <c r="I23" i="53"/>
  <c r="I24" i="53"/>
  <c r="I25" i="53"/>
  <c r="H22" i="53"/>
  <c r="H23" i="53"/>
  <c r="H24" i="53"/>
  <c r="H25" i="53"/>
  <c r="I42" i="53"/>
  <c r="I43" i="53"/>
  <c r="I44" i="53"/>
  <c r="H42" i="53"/>
  <c r="H43" i="53"/>
  <c r="H44" i="53"/>
  <c r="I32" i="53"/>
  <c r="I33" i="53"/>
  <c r="I34" i="53"/>
  <c r="H32" i="53"/>
  <c r="H33" i="53"/>
  <c r="H34" i="53"/>
  <c r="I38" i="53" l="1"/>
  <c r="I39" i="53"/>
  <c r="I40" i="53"/>
  <c r="I41" i="53"/>
  <c r="H41" i="53"/>
  <c r="I10" i="53"/>
  <c r="I11" i="53"/>
  <c r="I12" i="53"/>
  <c r="H73" i="35" l="1"/>
  <c r="G102" i="34" l="1"/>
  <c r="AH65" i="35" s="1"/>
  <c r="AI65" i="35" s="1"/>
  <c r="E58" i="51" s="1"/>
  <c r="Z54" i="35"/>
  <c r="Z53" i="35"/>
  <c r="Z52" i="35"/>
  <c r="G105" i="34"/>
  <c r="AH92" i="35" s="1"/>
  <c r="AI92" i="35" s="1"/>
  <c r="E58" i="52" s="1"/>
  <c r="B105" i="34"/>
  <c r="B102" i="34"/>
  <c r="E113" i="35" l="1"/>
  <c r="E111" i="35"/>
  <c r="H74" i="35" l="1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2" i="35"/>
  <c r="H93" i="35"/>
  <c r="H94" i="35"/>
  <c r="H95" i="35"/>
  <c r="H96" i="35"/>
  <c r="H97" i="35"/>
  <c r="H47" i="35"/>
  <c r="H48" i="35"/>
  <c r="H49" i="35"/>
  <c r="O63" i="35" s="1"/>
  <c r="H50" i="35"/>
  <c r="H51" i="35"/>
  <c r="H52" i="35"/>
  <c r="H53" i="35"/>
  <c r="H54" i="35"/>
  <c r="H55" i="35"/>
  <c r="H56" i="35"/>
  <c r="H57" i="35"/>
  <c r="P53" i="35" s="1"/>
  <c r="S53" i="35" s="1"/>
  <c r="H58" i="35"/>
  <c r="H59" i="35"/>
  <c r="H60" i="35"/>
  <c r="H61" i="35"/>
  <c r="H62" i="35"/>
  <c r="H65" i="35"/>
  <c r="Q55" i="35" s="1"/>
  <c r="H66" i="35"/>
  <c r="H67" i="35"/>
  <c r="H68" i="35"/>
  <c r="H69" i="35"/>
  <c r="H70" i="35"/>
  <c r="H46" i="35"/>
  <c r="O62" i="35" s="1"/>
  <c r="J87" i="35" l="1"/>
  <c r="J59" i="35"/>
  <c r="AC25" i="35"/>
  <c r="AC24" i="35"/>
  <c r="J60" i="35" l="1"/>
  <c r="J62" i="35"/>
  <c r="J64" i="35"/>
  <c r="J61" i="35"/>
  <c r="J63" i="35"/>
  <c r="J91" i="35"/>
  <c r="J89" i="35"/>
  <c r="J90" i="35"/>
  <c r="J92" i="35"/>
  <c r="J88" i="35"/>
  <c r="H39" i="53"/>
  <c r="H40" i="53"/>
  <c r="H38" i="53"/>
  <c r="I29" i="53"/>
  <c r="I30" i="53"/>
  <c r="I31" i="53"/>
  <c r="I28" i="53"/>
  <c r="H29" i="53"/>
  <c r="H30" i="53"/>
  <c r="H31" i="53"/>
  <c r="H28" i="53"/>
  <c r="H11" i="53"/>
  <c r="H12" i="53"/>
  <c r="H10" i="53"/>
  <c r="B40" i="34" l="1"/>
  <c r="G40" i="34"/>
  <c r="D12" i="45" l="1"/>
  <c r="D11" i="45"/>
  <c r="D10" i="45"/>
  <c r="D9" i="45"/>
  <c r="D13" i="45"/>
  <c r="F11" i="45"/>
  <c r="F9" i="45"/>
  <c r="F10" i="45"/>
  <c r="F37" i="53"/>
  <c r="E37" i="53"/>
  <c r="D37" i="53"/>
  <c r="I37" i="53"/>
  <c r="H37" i="53"/>
  <c r="B37" i="53"/>
  <c r="I20" i="53"/>
  <c r="I21" i="53"/>
  <c r="I19" i="53"/>
  <c r="H20" i="53"/>
  <c r="H21" i="53"/>
  <c r="H19" i="53"/>
  <c r="H16" i="53"/>
  <c r="G180" i="35" l="1"/>
  <c r="J34" i="53" s="1"/>
  <c r="G189" i="35"/>
  <c r="J44" i="53" s="1"/>
  <c r="G171" i="35"/>
  <c r="J25" i="53" s="1"/>
  <c r="D27" i="53"/>
  <c r="D18" i="53"/>
  <c r="D9" i="53"/>
  <c r="B27" i="53"/>
  <c r="B18" i="53"/>
  <c r="B9" i="53"/>
  <c r="R74" i="35" l="1"/>
  <c r="Q74" i="35"/>
  <c r="R47" i="35"/>
  <c r="Q47" i="35"/>
  <c r="D32" i="56"/>
  <c r="D29" i="56"/>
  <c r="D26" i="56"/>
  <c r="D23" i="56"/>
  <c r="D20" i="56"/>
  <c r="D17" i="56"/>
  <c r="D14" i="56"/>
  <c r="D11" i="56"/>
  <c r="D8" i="56"/>
  <c r="B5" i="56"/>
  <c r="G163" i="35" l="1"/>
  <c r="J16" i="53" s="1"/>
  <c r="O90" i="35"/>
  <c r="O91" i="35"/>
  <c r="O92" i="35"/>
  <c r="O89" i="35"/>
  <c r="O64" i="35"/>
  <c r="O65" i="35"/>
  <c r="Q7" i="35"/>
  <c r="R7" i="35" s="1"/>
  <c r="AC10" i="35"/>
  <c r="AC9" i="35"/>
  <c r="AC16" i="35"/>
  <c r="AC17" i="35"/>
  <c r="K32" i="56" l="1"/>
  <c r="Q53" i="35"/>
  <c r="Q81" i="35"/>
  <c r="P81" i="35"/>
  <c r="J74" i="35"/>
  <c r="Q82" i="35"/>
  <c r="Q80" i="35"/>
  <c r="P80" i="35"/>
  <c r="Q54" i="35"/>
  <c r="P54" i="35"/>
  <c r="P55" i="35"/>
  <c r="J81" i="35"/>
  <c r="J80" i="35"/>
  <c r="J83" i="35"/>
  <c r="J73" i="35"/>
  <c r="P82" i="35"/>
  <c r="J82" i="35"/>
  <c r="AD11" i="35"/>
  <c r="AD18" i="35"/>
  <c r="E9" i="48"/>
  <c r="E10" i="48"/>
  <c r="E11" i="48"/>
  <c r="E12" i="48"/>
  <c r="E13" i="48"/>
  <c r="E14" i="48"/>
  <c r="E15" i="48"/>
  <c r="E16" i="48"/>
  <c r="E17" i="48"/>
  <c r="E18" i="48"/>
  <c r="E19" i="48"/>
  <c r="E8" i="48"/>
  <c r="D9" i="48"/>
  <c r="D10" i="48"/>
  <c r="D11" i="48"/>
  <c r="D12" i="48"/>
  <c r="D13" i="48"/>
  <c r="D14" i="48"/>
  <c r="D15" i="48"/>
  <c r="D16" i="48"/>
  <c r="D17" i="48"/>
  <c r="D18" i="48"/>
  <c r="D19" i="48"/>
  <c r="D8" i="48"/>
  <c r="R81" i="35" l="1"/>
  <c r="S81" i="35" s="1"/>
  <c r="R53" i="35"/>
  <c r="J75" i="35"/>
  <c r="R55" i="35"/>
  <c r="S55" i="35" s="1"/>
  <c r="R54" i="35"/>
  <c r="S54" i="35" s="1"/>
  <c r="R80" i="35"/>
  <c r="S80" i="35" s="1"/>
  <c r="R82" i="35"/>
  <c r="S82" i="35" s="1"/>
  <c r="E109" i="35"/>
  <c r="S56" i="35" l="1"/>
  <c r="S83" i="35"/>
  <c r="I27" i="53"/>
  <c r="H27" i="53"/>
  <c r="F27" i="53"/>
  <c r="F18" i="53"/>
  <c r="F9" i="53"/>
  <c r="E9" i="53"/>
  <c r="E27" i="53"/>
  <c r="E18" i="53"/>
  <c r="I18" i="53"/>
  <c r="H18" i="53"/>
  <c r="I9" i="53"/>
  <c r="B2" i="53" l="1"/>
  <c r="I44" i="52" l="1"/>
  <c r="H44" i="52"/>
  <c r="I36" i="52"/>
  <c r="H38" i="52"/>
  <c r="H39" i="52"/>
  <c r="H40" i="52"/>
  <c r="H36" i="52"/>
  <c r="H37" i="52"/>
  <c r="E11" i="52"/>
  <c r="F11" i="52"/>
  <c r="E12" i="52"/>
  <c r="F12" i="52"/>
  <c r="E11" i="51"/>
  <c r="F11" i="51"/>
  <c r="E12" i="51"/>
  <c r="F12" i="51"/>
  <c r="C12" i="52"/>
  <c r="D12" i="52"/>
  <c r="B12" i="52"/>
  <c r="C11" i="52"/>
  <c r="D11" i="52"/>
  <c r="B11" i="52"/>
  <c r="B10" i="52"/>
  <c r="B5" i="52"/>
  <c r="I29" i="52"/>
  <c r="H29" i="52"/>
  <c r="G29" i="52"/>
  <c r="F29" i="52"/>
  <c r="H44" i="51"/>
  <c r="I44" i="51"/>
  <c r="H36" i="51" l="1"/>
  <c r="H37" i="51"/>
  <c r="H38" i="51"/>
  <c r="H39" i="51"/>
  <c r="H40" i="51"/>
  <c r="I36" i="51"/>
  <c r="F29" i="51"/>
  <c r="G29" i="51"/>
  <c r="H29" i="51"/>
  <c r="I29" i="51"/>
  <c r="C12" i="51"/>
  <c r="D12" i="51"/>
  <c r="B12" i="51"/>
  <c r="C11" i="51"/>
  <c r="D11" i="51"/>
  <c r="B11" i="51"/>
  <c r="B10" i="51"/>
  <c r="B5" i="51" l="1"/>
  <c r="I9" i="50" l="1"/>
  <c r="H9" i="50"/>
  <c r="AF22" i="35"/>
  <c r="AI20" i="35" s="1"/>
  <c r="H18" i="50" s="1"/>
  <c r="AF23" i="35"/>
  <c r="AF40" i="35"/>
  <c r="AJ19" i="35" s="1"/>
  <c r="AF41" i="35"/>
  <c r="AJ20" i="35" s="1"/>
  <c r="I18" i="50" s="1"/>
  <c r="AF42" i="35"/>
  <c r="AJ21" i="35" s="1"/>
  <c r="I19" i="50" s="1"/>
  <c r="AF43" i="35"/>
  <c r="AF29" i="35"/>
  <c r="AJ9" i="35" s="1"/>
  <c r="AF30" i="35"/>
  <c r="AJ10" i="35" s="1"/>
  <c r="I11" i="50" s="1"/>
  <c r="AF31" i="35"/>
  <c r="AF11" i="35"/>
  <c r="AI29" i="35" s="1"/>
  <c r="AF12" i="35"/>
  <c r="AF7" i="35"/>
  <c r="AF8" i="35"/>
  <c r="AF9" i="35"/>
  <c r="AF10" i="35"/>
  <c r="AF13" i="35"/>
  <c r="AI11" i="35" s="1"/>
  <c r="H12" i="50" s="1"/>
  <c r="AF14" i="35"/>
  <c r="AI12" i="35" s="1"/>
  <c r="H13" i="50" s="1"/>
  <c r="AF15" i="35"/>
  <c r="AF16" i="35"/>
  <c r="AF17" i="35"/>
  <c r="AF18" i="35"/>
  <c r="AI30" i="35" s="1"/>
  <c r="H24" i="50" s="1"/>
  <c r="AF19" i="35"/>
  <c r="AI31" i="35" s="1"/>
  <c r="H25" i="50" s="1"/>
  <c r="AF20" i="35"/>
  <c r="AF21" i="35"/>
  <c r="AI33" i="35" s="1"/>
  <c r="H27" i="50" s="1"/>
  <c r="AF24" i="35"/>
  <c r="AI22" i="35" s="1"/>
  <c r="H20" i="50" s="1"/>
  <c r="AF25" i="35"/>
  <c r="AF26" i="35"/>
  <c r="AF27" i="35"/>
  <c r="AF28" i="35"/>
  <c r="AF32" i="35"/>
  <c r="AJ12" i="35" s="1"/>
  <c r="I13" i="50" s="1"/>
  <c r="AF33" i="35"/>
  <c r="AF34" i="35"/>
  <c r="AF35" i="35"/>
  <c r="AF36" i="35"/>
  <c r="AJ30" i="35" s="1"/>
  <c r="I24" i="50" s="1"/>
  <c r="AF37" i="35"/>
  <c r="AJ31" i="35" s="1"/>
  <c r="I25" i="50" s="1"/>
  <c r="AF38" i="35"/>
  <c r="AJ32" i="35" s="1"/>
  <c r="I26" i="50" s="1"/>
  <c r="AF39" i="35"/>
  <c r="AJ33" i="35" s="1"/>
  <c r="I27" i="50" s="1"/>
  <c r="Q8" i="35"/>
  <c r="Q9" i="35"/>
  <c r="Q10" i="35"/>
  <c r="Q11" i="35"/>
  <c r="Q12" i="35"/>
  <c r="Q13" i="35"/>
  <c r="Q14" i="35"/>
  <c r="Q15" i="35"/>
  <c r="Q16" i="35"/>
  <c r="H7" i="35"/>
  <c r="H8" i="35"/>
  <c r="H9" i="35"/>
  <c r="H10" i="35"/>
  <c r="H11" i="35"/>
  <c r="M9" i="35" s="1"/>
  <c r="H12" i="35"/>
  <c r="M10" i="35" s="1"/>
  <c r="H13" i="35"/>
  <c r="M11" i="35" s="1"/>
  <c r="H14" i="35"/>
  <c r="M12" i="35" s="1"/>
  <c r="H15" i="35"/>
  <c r="I15" i="35" s="1"/>
  <c r="H16" i="35"/>
  <c r="H29" i="35"/>
  <c r="O9" i="35" s="1"/>
  <c r="AI32" i="35" l="1"/>
  <c r="H26" i="50" s="1"/>
  <c r="AI10" i="35"/>
  <c r="H11" i="50" s="1"/>
  <c r="I10" i="50"/>
  <c r="AJ22" i="35"/>
  <c r="AJ24" i="35" s="1"/>
  <c r="AI21" i="35"/>
  <c r="H19" i="50" s="1"/>
  <c r="AJ11" i="35"/>
  <c r="AJ14" i="35" s="1"/>
  <c r="I17" i="50"/>
  <c r="M13" i="35"/>
  <c r="M14" i="35"/>
  <c r="M15" i="35" s="1"/>
  <c r="U21" i="35"/>
  <c r="H23" i="50"/>
  <c r="AI9" i="35"/>
  <c r="AI19" i="35"/>
  <c r="AJ29" i="35"/>
  <c r="AI34" i="35" l="1"/>
  <c r="AI35" i="35"/>
  <c r="AJ23" i="35"/>
  <c r="AJ25" i="35" s="1"/>
  <c r="AI14" i="35"/>
  <c r="AI24" i="35"/>
  <c r="AI23" i="35"/>
  <c r="AJ13" i="35"/>
  <c r="AJ15" i="35" s="1"/>
  <c r="AJ35" i="35"/>
  <c r="AJ34" i="35"/>
  <c r="H10" i="50"/>
  <c r="AI13" i="35"/>
  <c r="I12" i="50"/>
  <c r="I20" i="50"/>
  <c r="I23" i="50"/>
  <c r="H17" i="50"/>
  <c r="B5" i="50"/>
  <c r="I52" i="49"/>
  <c r="H52" i="49"/>
  <c r="I49" i="49"/>
  <c r="H49" i="49"/>
  <c r="U12" i="35"/>
  <c r="U8" i="35"/>
  <c r="B46" i="49"/>
  <c r="I41" i="49"/>
  <c r="H41" i="49"/>
  <c r="B40" i="49"/>
  <c r="H19" i="49"/>
  <c r="I19" i="49"/>
  <c r="AI36" i="35" l="1"/>
  <c r="H28" i="50" s="1"/>
  <c r="AI15" i="35"/>
  <c r="AJ36" i="35"/>
  <c r="I28" i="50" s="1"/>
  <c r="AI25" i="35"/>
  <c r="H21" i="50" s="1"/>
  <c r="H21" i="49"/>
  <c r="M27" i="35" l="1"/>
  <c r="M17" i="35"/>
  <c r="M7" i="35"/>
  <c r="B17" i="49"/>
  <c r="B4" i="49" l="1"/>
  <c r="Z35" i="35" l="1"/>
  <c r="B2" i="48" l="1"/>
  <c r="G7" i="48"/>
  <c r="F7" i="48"/>
  <c r="E7" i="48"/>
  <c r="H6" i="48"/>
  <c r="G6" i="48"/>
  <c r="D6" i="48"/>
  <c r="G82" i="34"/>
  <c r="A40" i="45"/>
  <c r="C40" i="45"/>
  <c r="A39" i="45"/>
  <c r="C39" i="45"/>
  <c r="C38" i="45"/>
  <c r="A38" i="45"/>
  <c r="A37" i="45"/>
  <c r="C37" i="45"/>
  <c r="C36" i="45"/>
  <c r="A36" i="45"/>
  <c r="G37" i="45"/>
  <c r="G38" i="45"/>
  <c r="G39" i="45"/>
  <c r="G40" i="45"/>
  <c r="E38" i="45"/>
  <c r="E39" i="45"/>
  <c r="E40" i="45"/>
  <c r="E37" i="45"/>
  <c r="G36" i="45"/>
  <c r="B66" i="35" l="1"/>
  <c r="B67" i="35"/>
  <c r="B68" i="35"/>
  <c r="B69" i="35"/>
  <c r="B70" i="35"/>
  <c r="B65" i="35"/>
  <c r="E103" i="35" l="1"/>
  <c r="AW7" i="35"/>
  <c r="L92" i="35" l="1"/>
  <c r="AY7" i="35"/>
  <c r="B23" i="34"/>
  <c r="G23" i="34"/>
  <c r="E36" i="45" l="1"/>
  <c r="D6" i="45"/>
  <c r="J120" i="35" l="1"/>
  <c r="J121" i="35"/>
  <c r="J122" i="35"/>
  <c r="J123" i="35"/>
  <c r="J124" i="35"/>
  <c r="J125" i="35"/>
  <c r="J126" i="35"/>
  <c r="J127" i="35"/>
  <c r="J128" i="35"/>
  <c r="J129" i="35"/>
  <c r="J130" i="35"/>
  <c r="J119" i="35"/>
  <c r="K117" i="35"/>
  <c r="J117" i="35"/>
  <c r="H113" i="35"/>
  <c r="E114" i="35" s="1"/>
  <c r="H111" i="35"/>
  <c r="E112" i="35" s="1"/>
  <c r="H109" i="35"/>
  <c r="E110" i="35" s="1"/>
  <c r="E101" i="35"/>
  <c r="L48" i="35" l="1"/>
  <c r="L75" i="35" l="1"/>
  <c r="J76" i="35" s="1"/>
  <c r="U83" i="35"/>
  <c r="U56" i="35"/>
  <c r="L64" i="35" l="1"/>
  <c r="AY9" i="35"/>
  <c r="AY10" i="35"/>
  <c r="AY11" i="35"/>
  <c r="AY8" i="35"/>
  <c r="AX9" i="35"/>
  <c r="AX10" i="35"/>
  <c r="AX11" i="35"/>
  <c r="AX8" i="35"/>
  <c r="AX7" i="35"/>
  <c r="AW9" i="35"/>
  <c r="AW10" i="35"/>
  <c r="AW8" i="35"/>
  <c r="AV9" i="35"/>
  <c r="AV10" i="35"/>
  <c r="AV8" i="35"/>
  <c r="AV7" i="35"/>
  <c r="AR12" i="35"/>
  <c r="AR13" i="35"/>
  <c r="AR11" i="35"/>
  <c r="AR10" i="35"/>
  <c r="AR8" i="35"/>
  <c r="AR9" i="35"/>
  <c r="AR7" i="35"/>
  <c r="AP12" i="35"/>
  <c r="AQ12" i="35" s="1"/>
  <c r="AP13" i="35"/>
  <c r="AQ13" i="35" s="1"/>
  <c r="AP11" i="35"/>
  <c r="AQ11" i="35" s="1"/>
  <c r="AP10" i="35"/>
  <c r="AQ10" i="35" s="1"/>
  <c r="AP8" i="35"/>
  <c r="AQ8" i="35" s="1"/>
  <c r="AP9" i="35"/>
  <c r="AQ9" i="35" s="1"/>
  <c r="AC29" i="35" s="1"/>
  <c r="AP7" i="35"/>
  <c r="AQ7" i="35" s="1"/>
  <c r="AO12" i="35"/>
  <c r="AO13" i="35"/>
  <c r="AO11" i="35"/>
  <c r="AO10" i="35"/>
  <c r="AO8" i="35"/>
  <c r="AO9" i="35"/>
  <c r="AO7" i="35"/>
  <c r="AM12" i="35"/>
  <c r="AN12" i="35" s="1"/>
  <c r="AM13" i="35"/>
  <c r="AN13" i="35" s="1"/>
  <c r="AM11" i="35"/>
  <c r="AN11" i="35" s="1"/>
  <c r="AM10" i="35"/>
  <c r="AN10" i="35" s="1"/>
  <c r="AM8" i="35"/>
  <c r="AN8" i="35" s="1"/>
  <c r="AM9" i="35"/>
  <c r="AN9" i="35" s="1"/>
  <c r="AM7" i="35"/>
  <c r="AN7" i="35" s="1"/>
  <c r="AH5" i="35"/>
  <c r="AJ37" i="35" s="1"/>
  <c r="I29" i="50" s="1"/>
  <c r="AH4" i="35"/>
  <c r="AA4" i="35"/>
  <c r="R4" i="35"/>
  <c r="V8" i="35" s="1"/>
  <c r="R5" i="35"/>
  <c r="V12" i="35" s="1"/>
  <c r="I4" i="35"/>
  <c r="AI37" i="35" l="1"/>
  <c r="AI26" i="35"/>
  <c r="H22" i="50" s="1"/>
  <c r="C8" i="49"/>
  <c r="B93" i="35"/>
  <c r="C93" i="35"/>
  <c r="D93" i="35"/>
  <c r="E93" i="35"/>
  <c r="B94" i="35"/>
  <c r="C94" i="35"/>
  <c r="D94" i="35"/>
  <c r="E94" i="35"/>
  <c r="B95" i="35"/>
  <c r="C95" i="35"/>
  <c r="D95" i="35"/>
  <c r="E95" i="35"/>
  <c r="B96" i="35"/>
  <c r="C96" i="35"/>
  <c r="D96" i="35"/>
  <c r="E96" i="35"/>
  <c r="B97" i="35"/>
  <c r="C97" i="35"/>
  <c r="D97" i="35"/>
  <c r="E97" i="35"/>
  <c r="B88" i="35"/>
  <c r="C88" i="35"/>
  <c r="D88" i="35"/>
  <c r="E88" i="35"/>
  <c r="B89" i="35"/>
  <c r="C89" i="35"/>
  <c r="D89" i="35"/>
  <c r="E89" i="35"/>
  <c r="B92" i="35"/>
  <c r="E92" i="35"/>
  <c r="D92" i="35"/>
  <c r="C92" i="35"/>
  <c r="H29" i="50" l="1"/>
  <c r="J29" i="50" s="1"/>
  <c r="G32" i="52"/>
  <c r="E82" i="35"/>
  <c r="E83" i="35"/>
  <c r="E84" i="35"/>
  <c r="E85" i="35"/>
  <c r="E86" i="35"/>
  <c r="E87" i="35"/>
  <c r="D82" i="35"/>
  <c r="D83" i="35"/>
  <c r="D84" i="35"/>
  <c r="D85" i="35"/>
  <c r="D86" i="35"/>
  <c r="D87" i="35"/>
  <c r="C82" i="35"/>
  <c r="C83" i="35"/>
  <c r="C84" i="35"/>
  <c r="C85" i="35"/>
  <c r="C86" i="35"/>
  <c r="C87" i="35"/>
  <c r="B83" i="35"/>
  <c r="B84" i="35"/>
  <c r="B85" i="35"/>
  <c r="B86" i="35"/>
  <c r="B87" i="35"/>
  <c r="G83" i="34"/>
  <c r="F83" i="35" s="1"/>
  <c r="B83" i="34"/>
  <c r="A83" i="35" s="1"/>
  <c r="B84" i="34"/>
  <c r="A84" i="35" s="1"/>
  <c r="B85" i="34"/>
  <c r="A85" i="35" s="1"/>
  <c r="B86" i="34"/>
  <c r="A86" i="35" s="1"/>
  <c r="B87" i="34"/>
  <c r="A87" i="35" s="1"/>
  <c r="B88" i="34"/>
  <c r="A88" i="35" s="1"/>
  <c r="B89" i="34"/>
  <c r="A89" i="35" s="1"/>
  <c r="C74" i="35"/>
  <c r="C75" i="35"/>
  <c r="C76" i="35"/>
  <c r="C77" i="35"/>
  <c r="C78" i="35"/>
  <c r="C79" i="35"/>
  <c r="C80" i="35"/>
  <c r="C81" i="35"/>
  <c r="B74" i="35"/>
  <c r="N91" i="35" s="1"/>
  <c r="B75" i="35"/>
  <c r="N92" i="35" s="1"/>
  <c r="B76" i="35"/>
  <c r="N89" i="35" s="1"/>
  <c r="B77" i="35"/>
  <c r="B78" i="35"/>
  <c r="B79" i="35"/>
  <c r="B80" i="35"/>
  <c r="B81" i="35"/>
  <c r="B82" i="35"/>
  <c r="E81" i="35"/>
  <c r="D81" i="35"/>
  <c r="E80" i="35"/>
  <c r="D80" i="35"/>
  <c r="E79" i="35"/>
  <c r="D79" i="35"/>
  <c r="E78" i="35"/>
  <c r="D78" i="35"/>
  <c r="E77" i="35"/>
  <c r="D77" i="35"/>
  <c r="E76" i="35"/>
  <c r="D76" i="35"/>
  <c r="E75" i="35"/>
  <c r="D75" i="35"/>
  <c r="E74" i="35"/>
  <c r="D74" i="35"/>
  <c r="E73" i="35"/>
  <c r="D73" i="35"/>
  <c r="C73" i="35"/>
  <c r="B73" i="35"/>
  <c r="N90" i="35" s="1"/>
  <c r="B93" i="34"/>
  <c r="A93" i="35" s="1"/>
  <c r="B94" i="34"/>
  <c r="A94" i="35" s="1"/>
  <c r="B95" i="34"/>
  <c r="A95" i="35" s="1"/>
  <c r="B96" i="34"/>
  <c r="A96" i="35" s="1"/>
  <c r="B97" i="34"/>
  <c r="A97" i="35" s="1"/>
  <c r="B74" i="34"/>
  <c r="A74" i="35" s="1"/>
  <c r="B75" i="34"/>
  <c r="A75" i="35" s="1"/>
  <c r="B76" i="34"/>
  <c r="A76" i="35" s="1"/>
  <c r="B77" i="34"/>
  <c r="A77" i="35" s="1"/>
  <c r="B78" i="34"/>
  <c r="A78" i="35" s="1"/>
  <c r="B79" i="34"/>
  <c r="A79" i="35" s="1"/>
  <c r="B80" i="34"/>
  <c r="A80" i="35" s="1"/>
  <c r="B81" i="34"/>
  <c r="A81" i="35" s="1"/>
  <c r="B82" i="34"/>
  <c r="A82" i="35" s="1"/>
  <c r="B66" i="34"/>
  <c r="A66" i="35" s="1"/>
  <c r="B67" i="34"/>
  <c r="A67" i="35" s="1"/>
  <c r="B68" i="34"/>
  <c r="A68" i="35" s="1"/>
  <c r="B69" i="34"/>
  <c r="A69" i="35" s="1"/>
  <c r="B70" i="34"/>
  <c r="A70" i="35" s="1"/>
  <c r="B47" i="34"/>
  <c r="A47" i="35" s="1"/>
  <c r="B48" i="34"/>
  <c r="A48" i="35" s="1"/>
  <c r="B49" i="34"/>
  <c r="A49" i="35" s="1"/>
  <c r="B50" i="34"/>
  <c r="A50" i="35" s="1"/>
  <c r="B51" i="34"/>
  <c r="A51" i="35" s="1"/>
  <c r="B52" i="34"/>
  <c r="A52" i="35" s="1"/>
  <c r="B53" i="34"/>
  <c r="A53" i="35" s="1"/>
  <c r="B54" i="34"/>
  <c r="A54" i="35" s="1"/>
  <c r="B55" i="34"/>
  <c r="A55" i="35" s="1"/>
  <c r="B56" i="34"/>
  <c r="A56" i="35" s="1"/>
  <c r="B57" i="34"/>
  <c r="A57" i="35" s="1"/>
  <c r="B58" i="34"/>
  <c r="A58" i="35" s="1"/>
  <c r="B59" i="34"/>
  <c r="A59" i="35" s="1"/>
  <c r="B60" i="34"/>
  <c r="A60" i="35" s="1"/>
  <c r="B61" i="34"/>
  <c r="A61" i="35" s="1"/>
  <c r="B62" i="34"/>
  <c r="A62" i="35" s="1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1" i="34"/>
  <c r="B42" i="34"/>
  <c r="B43" i="34"/>
  <c r="I47" i="52" l="1"/>
  <c r="H45" i="52"/>
  <c r="G31" i="52"/>
  <c r="H46" i="52"/>
  <c r="I46" i="52"/>
  <c r="H48" i="52"/>
  <c r="G30" i="52"/>
  <c r="I45" i="52"/>
  <c r="H47" i="52"/>
  <c r="I48" i="52"/>
  <c r="F31" i="51"/>
  <c r="F30" i="51"/>
  <c r="I16" i="52"/>
  <c r="I47" i="51"/>
  <c r="I48" i="51"/>
  <c r="I45" i="51"/>
  <c r="C66" i="35"/>
  <c r="D66" i="35"/>
  <c r="E66" i="35"/>
  <c r="C67" i="35"/>
  <c r="D67" i="35"/>
  <c r="E67" i="35"/>
  <c r="C68" i="35"/>
  <c r="D68" i="35"/>
  <c r="E68" i="35"/>
  <c r="C69" i="35"/>
  <c r="D69" i="35"/>
  <c r="E69" i="35"/>
  <c r="C70" i="35"/>
  <c r="D70" i="35"/>
  <c r="E70" i="35"/>
  <c r="C65" i="35"/>
  <c r="D65" i="35"/>
  <c r="E65" i="35"/>
  <c r="A64" i="35"/>
  <c r="B47" i="35"/>
  <c r="N64" i="35" s="1"/>
  <c r="H47" i="51" s="1"/>
  <c r="C47" i="35"/>
  <c r="D47" i="35"/>
  <c r="E47" i="35"/>
  <c r="B48" i="35"/>
  <c r="N65" i="35" s="1"/>
  <c r="H48" i="51" s="1"/>
  <c r="C48" i="35"/>
  <c r="D48" i="35"/>
  <c r="E48" i="35"/>
  <c r="B49" i="35"/>
  <c r="C49" i="35"/>
  <c r="D49" i="35"/>
  <c r="E49" i="35"/>
  <c r="B50" i="35"/>
  <c r="C50" i="35"/>
  <c r="D50" i="35"/>
  <c r="E50" i="35"/>
  <c r="B51" i="35"/>
  <c r="C51" i="35"/>
  <c r="D51" i="35"/>
  <c r="E51" i="35"/>
  <c r="B52" i="35"/>
  <c r="C52" i="35"/>
  <c r="D52" i="35"/>
  <c r="E52" i="35"/>
  <c r="B53" i="35"/>
  <c r="C53" i="35"/>
  <c r="D53" i="35"/>
  <c r="E53" i="35"/>
  <c r="B54" i="35"/>
  <c r="C54" i="35"/>
  <c r="D54" i="35"/>
  <c r="E54" i="35"/>
  <c r="B55" i="35"/>
  <c r="C55" i="35"/>
  <c r="D55" i="35"/>
  <c r="E55" i="35"/>
  <c r="B56" i="35"/>
  <c r="C56" i="35"/>
  <c r="D56" i="35"/>
  <c r="E56" i="35"/>
  <c r="B57" i="35"/>
  <c r="C57" i="35"/>
  <c r="D57" i="35"/>
  <c r="E57" i="35"/>
  <c r="B58" i="35"/>
  <c r="C58" i="35"/>
  <c r="D58" i="35"/>
  <c r="E58" i="35"/>
  <c r="B59" i="35"/>
  <c r="C59" i="35"/>
  <c r="D59" i="35"/>
  <c r="E59" i="35"/>
  <c r="B60" i="35"/>
  <c r="C60" i="35"/>
  <c r="D60" i="35"/>
  <c r="E60" i="35"/>
  <c r="B61" i="35"/>
  <c r="C61" i="35"/>
  <c r="D61" i="35"/>
  <c r="E61" i="35"/>
  <c r="B62" i="35"/>
  <c r="C62" i="35"/>
  <c r="D62" i="35"/>
  <c r="E62" i="35"/>
  <c r="C46" i="35"/>
  <c r="D46" i="35"/>
  <c r="E46" i="35"/>
  <c r="I46" i="51"/>
  <c r="G93" i="34"/>
  <c r="F93" i="35" s="1"/>
  <c r="G94" i="34"/>
  <c r="F94" i="35" s="1"/>
  <c r="G95" i="34"/>
  <c r="F95" i="35" s="1"/>
  <c r="G96" i="34"/>
  <c r="F96" i="35" s="1"/>
  <c r="G97" i="34"/>
  <c r="F97" i="35" s="1"/>
  <c r="G92" i="34"/>
  <c r="F92" i="35" s="1"/>
  <c r="G74" i="34"/>
  <c r="F74" i="35" s="1"/>
  <c r="G75" i="34"/>
  <c r="F75" i="35" s="1"/>
  <c r="G76" i="34"/>
  <c r="F76" i="35" s="1"/>
  <c r="G77" i="34"/>
  <c r="F77" i="35" s="1"/>
  <c r="G78" i="34"/>
  <c r="F78" i="35" s="1"/>
  <c r="G79" i="34"/>
  <c r="F79" i="35" s="1"/>
  <c r="G80" i="34"/>
  <c r="F80" i="35" s="1"/>
  <c r="G81" i="34"/>
  <c r="F81" i="35" s="1"/>
  <c r="F82" i="35"/>
  <c r="G84" i="34"/>
  <c r="F84" i="35" s="1"/>
  <c r="G85" i="34"/>
  <c r="F85" i="35" s="1"/>
  <c r="G86" i="34"/>
  <c r="F86" i="35" s="1"/>
  <c r="G87" i="34"/>
  <c r="F87" i="35" s="1"/>
  <c r="G88" i="34"/>
  <c r="F88" i="35" s="1"/>
  <c r="G89" i="34"/>
  <c r="F89" i="35" s="1"/>
  <c r="G73" i="34"/>
  <c r="F73" i="35" s="1"/>
  <c r="G66" i="34"/>
  <c r="F66" i="35" s="1"/>
  <c r="G67" i="34"/>
  <c r="F67" i="35" s="1"/>
  <c r="G68" i="34"/>
  <c r="F68" i="35" s="1"/>
  <c r="G69" i="34"/>
  <c r="F69" i="35" s="1"/>
  <c r="G70" i="34"/>
  <c r="F70" i="35" s="1"/>
  <c r="G65" i="34"/>
  <c r="F65" i="35" s="1"/>
  <c r="G47" i="34"/>
  <c r="F47" i="35" s="1"/>
  <c r="G48" i="34"/>
  <c r="F48" i="35" s="1"/>
  <c r="G49" i="34"/>
  <c r="F49" i="35" s="1"/>
  <c r="G50" i="34"/>
  <c r="F50" i="35" s="1"/>
  <c r="G51" i="34"/>
  <c r="F51" i="35" s="1"/>
  <c r="G52" i="34"/>
  <c r="F52" i="35" s="1"/>
  <c r="G53" i="34"/>
  <c r="F53" i="35" s="1"/>
  <c r="G54" i="34"/>
  <c r="F54" i="35" s="1"/>
  <c r="G55" i="34"/>
  <c r="F55" i="35" s="1"/>
  <c r="G56" i="34"/>
  <c r="F56" i="35" s="1"/>
  <c r="G57" i="34"/>
  <c r="F57" i="35" s="1"/>
  <c r="G58" i="34"/>
  <c r="F58" i="35" s="1"/>
  <c r="G59" i="34"/>
  <c r="F59" i="35" s="1"/>
  <c r="G60" i="34"/>
  <c r="F60" i="35" s="1"/>
  <c r="G61" i="34"/>
  <c r="F61" i="35" s="1"/>
  <c r="G62" i="34"/>
  <c r="F62" i="35" s="1"/>
  <c r="G46" i="34"/>
  <c r="F46" i="35" s="1"/>
  <c r="B92" i="34"/>
  <c r="A92" i="35" s="1"/>
  <c r="N63" i="35" l="1"/>
  <c r="I15" i="52"/>
  <c r="F31" i="52"/>
  <c r="F30" i="52"/>
  <c r="F32" i="52"/>
  <c r="I21" i="52"/>
  <c r="J56" i="35"/>
  <c r="I40" i="51" s="1"/>
  <c r="J55" i="35"/>
  <c r="I39" i="51" s="1"/>
  <c r="J54" i="35"/>
  <c r="I38" i="51" s="1"/>
  <c r="J53" i="35"/>
  <c r="I37" i="51" s="1"/>
  <c r="G32" i="51"/>
  <c r="F32" i="51"/>
  <c r="J46" i="35"/>
  <c r="I15" i="51" s="1"/>
  <c r="J93" i="35" l="1"/>
  <c r="I24" i="51"/>
  <c r="I23" i="51"/>
  <c r="I37" i="52"/>
  <c r="H30" i="52"/>
  <c r="I17" i="52"/>
  <c r="I22" i="52"/>
  <c r="I38" i="52"/>
  <c r="H32" i="52"/>
  <c r="H31" i="52"/>
  <c r="G30" i="51"/>
  <c r="I23" i="52"/>
  <c r="I39" i="52"/>
  <c r="I24" i="52"/>
  <c r="I21" i="51"/>
  <c r="G31" i="51"/>
  <c r="I40" i="52"/>
  <c r="B65" i="34"/>
  <c r="A65" i="35" s="1"/>
  <c r="B46" i="35"/>
  <c r="H46" i="51" l="1"/>
  <c r="N62" i="35"/>
  <c r="H45" i="51" s="1"/>
  <c r="I22" i="51"/>
  <c r="I31" i="52"/>
  <c r="H32" i="51"/>
  <c r="I30" i="51"/>
  <c r="H30" i="51"/>
  <c r="I30" i="52"/>
  <c r="J17" i="52"/>
  <c r="I25" i="52"/>
  <c r="I31" i="51"/>
  <c r="H31" i="51"/>
  <c r="I32" i="52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6" i="35"/>
  <c r="Z37" i="35"/>
  <c r="Z38" i="35"/>
  <c r="Z39" i="35"/>
  <c r="Z40" i="35"/>
  <c r="Z41" i="35"/>
  <c r="Z42" i="35"/>
  <c r="Z43" i="35"/>
  <c r="Z7" i="35"/>
  <c r="J25" i="52" l="1"/>
  <c r="J65" i="35"/>
  <c r="J25" i="51" s="1"/>
  <c r="I25" i="51"/>
  <c r="I32" i="51"/>
  <c r="S84" i="35"/>
  <c r="K29" i="56" s="1"/>
  <c r="I33" i="52"/>
  <c r="AD15" i="35"/>
  <c r="AD19" i="35" s="1"/>
  <c r="I43" i="49" s="1"/>
  <c r="AD8" i="35"/>
  <c r="AD12" i="35" s="1"/>
  <c r="I20" i="49"/>
  <c r="H20" i="49"/>
  <c r="H55" i="49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I12" i="35"/>
  <c r="H17" i="35"/>
  <c r="H18" i="35"/>
  <c r="M19" i="35" s="1"/>
  <c r="H19" i="35"/>
  <c r="H20" i="35"/>
  <c r="H21" i="35"/>
  <c r="H22" i="35"/>
  <c r="H23" i="35"/>
  <c r="H24" i="35"/>
  <c r="H25" i="35"/>
  <c r="H26" i="35"/>
  <c r="H27" i="35"/>
  <c r="H28" i="35"/>
  <c r="H30" i="35"/>
  <c r="H31" i="35"/>
  <c r="H32" i="35"/>
  <c r="O12" i="35" s="1"/>
  <c r="H33" i="35"/>
  <c r="H34" i="35"/>
  <c r="H35" i="35"/>
  <c r="H36" i="35"/>
  <c r="H37" i="35"/>
  <c r="O20" i="35" s="1"/>
  <c r="H38" i="35"/>
  <c r="H39" i="35"/>
  <c r="H40" i="35"/>
  <c r="O29" i="35" s="1"/>
  <c r="H41" i="35"/>
  <c r="O30" i="35" s="1"/>
  <c r="I33" i="49" s="1"/>
  <c r="H42" i="35"/>
  <c r="H43" i="35"/>
  <c r="B8" i="35"/>
  <c r="C8" i="35"/>
  <c r="D8" i="35"/>
  <c r="E8" i="35"/>
  <c r="B9" i="35"/>
  <c r="C9" i="35"/>
  <c r="D9" i="35"/>
  <c r="E9" i="35"/>
  <c r="B10" i="35"/>
  <c r="C10" i="35"/>
  <c r="D10" i="35"/>
  <c r="E10" i="35"/>
  <c r="B11" i="35"/>
  <c r="C11" i="35"/>
  <c r="D11" i="35"/>
  <c r="E11" i="35"/>
  <c r="B12" i="35"/>
  <c r="C12" i="35"/>
  <c r="D12" i="35"/>
  <c r="E12" i="35"/>
  <c r="B13" i="35"/>
  <c r="C13" i="35"/>
  <c r="D13" i="35"/>
  <c r="R13" i="35" s="1"/>
  <c r="S13" i="35" s="1"/>
  <c r="E13" i="35"/>
  <c r="A14" i="35"/>
  <c r="B14" i="35"/>
  <c r="C14" i="35"/>
  <c r="D14" i="35"/>
  <c r="E14" i="35"/>
  <c r="B15" i="35"/>
  <c r="C15" i="35"/>
  <c r="D15" i="35"/>
  <c r="E15" i="35"/>
  <c r="B16" i="35"/>
  <c r="C16" i="35"/>
  <c r="D16" i="35"/>
  <c r="E16" i="35"/>
  <c r="B17" i="35"/>
  <c r="C17" i="35"/>
  <c r="D17" i="35"/>
  <c r="E17" i="35"/>
  <c r="B18" i="35"/>
  <c r="C18" i="35"/>
  <c r="D18" i="35"/>
  <c r="E18" i="35"/>
  <c r="B19" i="35"/>
  <c r="C19" i="35"/>
  <c r="D19" i="35"/>
  <c r="E19" i="35"/>
  <c r="B20" i="35"/>
  <c r="C20" i="35"/>
  <c r="D20" i="35"/>
  <c r="E20" i="35"/>
  <c r="B21" i="35"/>
  <c r="C21" i="35"/>
  <c r="D21" i="35"/>
  <c r="E21" i="35"/>
  <c r="B22" i="35"/>
  <c r="C22" i="35"/>
  <c r="D22" i="35"/>
  <c r="E22" i="35"/>
  <c r="B23" i="35"/>
  <c r="C23" i="35"/>
  <c r="D23" i="35"/>
  <c r="E23" i="35"/>
  <c r="B24" i="35"/>
  <c r="C24" i="35"/>
  <c r="D24" i="35"/>
  <c r="E24" i="35"/>
  <c r="A25" i="35"/>
  <c r="B25" i="35"/>
  <c r="C25" i="35"/>
  <c r="D25" i="35"/>
  <c r="E25" i="35"/>
  <c r="B26" i="35"/>
  <c r="C26" i="35"/>
  <c r="D26" i="35"/>
  <c r="E26" i="35"/>
  <c r="A27" i="35"/>
  <c r="B27" i="35"/>
  <c r="C27" i="35"/>
  <c r="D27" i="35"/>
  <c r="E27" i="35"/>
  <c r="A28" i="35"/>
  <c r="B28" i="35"/>
  <c r="C28" i="35"/>
  <c r="D28" i="35"/>
  <c r="E28" i="35"/>
  <c r="A29" i="35"/>
  <c r="B29" i="35"/>
  <c r="C29" i="35"/>
  <c r="D29" i="35"/>
  <c r="E29" i="35"/>
  <c r="A30" i="35"/>
  <c r="B30" i="35"/>
  <c r="C30" i="35"/>
  <c r="D30" i="35"/>
  <c r="E30" i="35"/>
  <c r="A31" i="35"/>
  <c r="B31" i="35"/>
  <c r="C31" i="35"/>
  <c r="D31" i="35"/>
  <c r="E31" i="35"/>
  <c r="A32" i="35"/>
  <c r="B32" i="35"/>
  <c r="C32" i="35"/>
  <c r="D32" i="35"/>
  <c r="E32" i="35"/>
  <c r="A33" i="35"/>
  <c r="B33" i="35"/>
  <c r="C33" i="35"/>
  <c r="D33" i="35"/>
  <c r="E33" i="35"/>
  <c r="A34" i="35"/>
  <c r="B34" i="35"/>
  <c r="C34" i="35"/>
  <c r="D34" i="35"/>
  <c r="E34" i="35"/>
  <c r="A35" i="35"/>
  <c r="B35" i="35"/>
  <c r="C35" i="35"/>
  <c r="D35" i="35"/>
  <c r="E35" i="35"/>
  <c r="A36" i="35"/>
  <c r="B36" i="35"/>
  <c r="C36" i="35"/>
  <c r="D36" i="35"/>
  <c r="E36" i="35"/>
  <c r="A37" i="35"/>
  <c r="B37" i="35"/>
  <c r="C37" i="35"/>
  <c r="D37" i="35"/>
  <c r="E37" i="35"/>
  <c r="A38" i="35"/>
  <c r="B38" i="35"/>
  <c r="C38" i="35"/>
  <c r="D38" i="35"/>
  <c r="E38" i="35"/>
  <c r="A39" i="35"/>
  <c r="B39" i="35"/>
  <c r="C39" i="35"/>
  <c r="D39" i="35"/>
  <c r="E39" i="35"/>
  <c r="A40" i="35"/>
  <c r="B40" i="35"/>
  <c r="C40" i="35"/>
  <c r="D40" i="35"/>
  <c r="E40" i="35"/>
  <c r="A41" i="35"/>
  <c r="B41" i="35"/>
  <c r="C41" i="35"/>
  <c r="D41" i="35"/>
  <c r="E41" i="35"/>
  <c r="A42" i="35"/>
  <c r="B42" i="35"/>
  <c r="C42" i="35"/>
  <c r="D42" i="35"/>
  <c r="E42" i="35"/>
  <c r="B43" i="35"/>
  <c r="C43" i="35"/>
  <c r="D43" i="35"/>
  <c r="E43" i="35"/>
  <c r="G32" i="34"/>
  <c r="F32" i="35" s="1"/>
  <c r="G14" i="34"/>
  <c r="F14" i="35" s="1"/>
  <c r="I7" i="35"/>
  <c r="J7" i="35" s="1"/>
  <c r="A8" i="35"/>
  <c r="A9" i="35"/>
  <c r="A10" i="35"/>
  <c r="A11" i="35"/>
  <c r="A12" i="35"/>
  <c r="A13" i="35"/>
  <c r="A15" i="35"/>
  <c r="A16" i="35"/>
  <c r="A17" i="35"/>
  <c r="A18" i="35"/>
  <c r="A19" i="35"/>
  <c r="A20" i="35"/>
  <c r="A21" i="35"/>
  <c r="A22" i="35"/>
  <c r="A23" i="35"/>
  <c r="A24" i="35"/>
  <c r="A26" i="35"/>
  <c r="A43" i="35"/>
  <c r="B7" i="35"/>
  <c r="C7" i="35"/>
  <c r="D7" i="35"/>
  <c r="E7" i="35"/>
  <c r="G42" i="34"/>
  <c r="F42" i="35" s="1"/>
  <c r="G43" i="34"/>
  <c r="F43" i="35" s="1"/>
  <c r="G41" i="34"/>
  <c r="F41" i="35" s="1"/>
  <c r="F40" i="35"/>
  <c r="G39" i="34"/>
  <c r="F39" i="35" s="1"/>
  <c r="G38" i="34"/>
  <c r="F38" i="35" s="1"/>
  <c r="G37" i="34"/>
  <c r="F37" i="35" s="1"/>
  <c r="G36" i="34"/>
  <c r="F36" i="35" s="1"/>
  <c r="G35" i="34"/>
  <c r="F35" i="35" s="1"/>
  <c r="G34" i="34"/>
  <c r="F34" i="35" s="1"/>
  <c r="G33" i="34"/>
  <c r="F33" i="35" s="1"/>
  <c r="G31" i="34"/>
  <c r="F31" i="35" s="1"/>
  <c r="G30" i="34"/>
  <c r="F30" i="35" s="1"/>
  <c r="G29" i="34"/>
  <c r="F29" i="35" s="1"/>
  <c r="G28" i="34"/>
  <c r="F28" i="35" s="1"/>
  <c r="G27" i="34"/>
  <c r="F27" i="35" s="1"/>
  <c r="G26" i="34"/>
  <c r="F26" i="35" s="1"/>
  <c r="G25" i="34"/>
  <c r="F25" i="35" s="1"/>
  <c r="G24" i="34"/>
  <c r="F24" i="35" s="1"/>
  <c r="G8" i="34"/>
  <c r="F8" i="35" s="1"/>
  <c r="G9" i="34"/>
  <c r="F9" i="35" s="1"/>
  <c r="G10" i="34"/>
  <c r="F10" i="35" s="1"/>
  <c r="G11" i="34"/>
  <c r="F11" i="35" s="1"/>
  <c r="G12" i="34"/>
  <c r="F12" i="35" s="1"/>
  <c r="G13" i="34"/>
  <c r="F13" i="35" s="1"/>
  <c r="G15" i="34"/>
  <c r="F15" i="35" s="1"/>
  <c r="G16" i="34"/>
  <c r="F16" i="35" s="1"/>
  <c r="G17" i="34"/>
  <c r="F17" i="35" s="1"/>
  <c r="G18" i="34"/>
  <c r="F18" i="35" s="1"/>
  <c r="G19" i="34"/>
  <c r="F19" i="35" s="1"/>
  <c r="G20" i="34"/>
  <c r="F20" i="35" s="1"/>
  <c r="G21" i="34"/>
  <c r="F21" i="35" s="1"/>
  <c r="G22" i="34"/>
  <c r="F22" i="35" s="1"/>
  <c r="F23" i="35"/>
  <c r="G7" i="34"/>
  <c r="F7" i="35" s="1"/>
  <c r="K17" i="56" l="1"/>
  <c r="M31" i="35"/>
  <c r="H34" i="49" s="1"/>
  <c r="I28" i="35"/>
  <c r="J28" i="35" s="1"/>
  <c r="R19" i="35"/>
  <c r="S19" i="35" s="1"/>
  <c r="M29" i="35"/>
  <c r="H32" i="49" s="1"/>
  <c r="O10" i="35"/>
  <c r="I21" i="49" s="1"/>
  <c r="M22" i="35"/>
  <c r="H29" i="49" s="1"/>
  <c r="J33" i="52"/>
  <c r="S57" i="35"/>
  <c r="J33" i="51" s="1"/>
  <c r="I33" i="51"/>
  <c r="W21" i="35"/>
  <c r="I55" i="49" s="1"/>
  <c r="R26" i="35"/>
  <c r="S26" i="35" s="1"/>
  <c r="I43" i="35"/>
  <c r="J43" i="35" s="1"/>
  <c r="O32" i="35"/>
  <c r="I35" i="49" s="1"/>
  <c r="I27" i="49"/>
  <c r="I24" i="35"/>
  <c r="J24" i="35" s="1"/>
  <c r="I20" i="35"/>
  <c r="J20" i="35" s="1"/>
  <c r="M21" i="35"/>
  <c r="I40" i="35"/>
  <c r="J40" i="35" s="1"/>
  <c r="I36" i="35"/>
  <c r="J36" i="35" s="1"/>
  <c r="O19" i="35"/>
  <c r="I32" i="35"/>
  <c r="J32" i="35" s="1"/>
  <c r="I23" i="35"/>
  <c r="J23" i="35" s="1"/>
  <c r="M30" i="35"/>
  <c r="H33" i="49" s="1"/>
  <c r="I19" i="35"/>
  <c r="J19" i="35" s="1"/>
  <c r="M20" i="35"/>
  <c r="I39" i="35"/>
  <c r="J39" i="35" s="1"/>
  <c r="O22" i="35"/>
  <c r="I31" i="35"/>
  <c r="J31" i="35" s="1"/>
  <c r="O11" i="35"/>
  <c r="I22" i="49" s="1"/>
  <c r="H26" i="49"/>
  <c r="I42" i="35"/>
  <c r="J42" i="35" s="1"/>
  <c r="O31" i="35"/>
  <c r="I34" i="49" s="1"/>
  <c r="I38" i="35"/>
  <c r="J38" i="35" s="1"/>
  <c r="O21" i="35"/>
  <c r="F13" i="49"/>
  <c r="F9" i="49"/>
  <c r="F8" i="49"/>
  <c r="G13" i="49"/>
  <c r="G9" i="49"/>
  <c r="C10" i="49"/>
  <c r="H22" i="49"/>
  <c r="D8" i="49"/>
  <c r="F12" i="49"/>
  <c r="F11" i="49"/>
  <c r="B14" i="49"/>
  <c r="B13" i="49"/>
  <c r="B12" i="49"/>
  <c r="G12" i="49"/>
  <c r="G11" i="49"/>
  <c r="G8" i="49"/>
  <c r="C14" i="49"/>
  <c r="B8" i="49"/>
  <c r="B11" i="49"/>
  <c r="B10" i="49"/>
  <c r="B9" i="49"/>
  <c r="I23" i="49"/>
  <c r="F14" i="49"/>
  <c r="F10" i="49"/>
  <c r="H23" i="49"/>
  <c r="I16" i="35"/>
  <c r="J16" i="35" s="1"/>
  <c r="C13" i="49"/>
  <c r="I11" i="35"/>
  <c r="C11" i="49"/>
  <c r="I35" i="35"/>
  <c r="G14" i="49"/>
  <c r="I27" i="35"/>
  <c r="G10" i="49"/>
  <c r="J15" i="35"/>
  <c r="C12" i="49"/>
  <c r="I8" i="35"/>
  <c r="C9" i="49"/>
  <c r="R34" i="35"/>
  <c r="S34" i="35" s="1"/>
  <c r="R12" i="35"/>
  <c r="S12" i="35" s="1"/>
  <c r="R8" i="35"/>
  <c r="S8" i="35" s="1"/>
  <c r="R33" i="35"/>
  <c r="S33" i="35" s="1"/>
  <c r="R29" i="35"/>
  <c r="S29" i="35" s="1"/>
  <c r="R17" i="35"/>
  <c r="S17" i="35" s="1"/>
  <c r="R32" i="35"/>
  <c r="S32" i="35" s="1"/>
  <c r="R28" i="35"/>
  <c r="S28" i="35" s="1"/>
  <c r="R16" i="35"/>
  <c r="S16" i="35" s="1"/>
  <c r="R42" i="35"/>
  <c r="S42" i="35" s="1"/>
  <c r="R38" i="35"/>
  <c r="S38" i="35" s="1"/>
  <c r="R37" i="35"/>
  <c r="S37" i="35" s="1"/>
  <c r="R21" i="35"/>
  <c r="S21" i="35" s="1"/>
  <c r="R40" i="35"/>
  <c r="S40" i="35" s="1"/>
  <c r="R24" i="35"/>
  <c r="S24" i="35" s="1"/>
  <c r="R9" i="35"/>
  <c r="S9" i="35" s="1"/>
  <c r="J35" i="35"/>
  <c r="R36" i="35"/>
  <c r="S36" i="35" s="1"/>
  <c r="I33" i="35"/>
  <c r="I21" i="35"/>
  <c r="J21" i="35" s="1"/>
  <c r="R27" i="35"/>
  <c r="S27" i="35" s="1"/>
  <c r="U19" i="35"/>
  <c r="W19" i="35"/>
  <c r="I17" i="35"/>
  <c r="J12" i="35"/>
  <c r="R11" i="35"/>
  <c r="S11" i="35" s="1"/>
  <c r="U22" i="35"/>
  <c r="H56" i="49" s="1"/>
  <c r="W22" i="35"/>
  <c r="I56" i="49" s="1"/>
  <c r="I29" i="35"/>
  <c r="H11" i="49" s="1"/>
  <c r="R15" i="35"/>
  <c r="S15" i="35" s="1"/>
  <c r="I13" i="35"/>
  <c r="J13" i="35" s="1"/>
  <c r="R41" i="35"/>
  <c r="S41" i="35" s="1"/>
  <c r="R25" i="35"/>
  <c r="S25" i="35" s="1"/>
  <c r="U20" i="35"/>
  <c r="H54" i="49" s="1"/>
  <c r="W20" i="35"/>
  <c r="I54" i="49" s="1"/>
  <c r="I25" i="35"/>
  <c r="I9" i="35"/>
  <c r="R43" i="35"/>
  <c r="S43" i="35" s="1"/>
  <c r="R35" i="35"/>
  <c r="S35" i="35" s="1"/>
  <c r="R20" i="35"/>
  <c r="S20" i="35" s="1"/>
  <c r="R31" i="35"/>
  <c r="S31" i="35" s="1"/>
  <c r="I41" i="35"/>
  <c r="J41" i="35" s="1"/>
  <c r="I37" i="35"/>
  <c r="J37" i="35" s="1"/>
  <c r="R39" i="35"/>
  <c r="S39" i="35" s="1"/>
  <c r="R23" i="35"/>
  <c r="S23" i="35" s="1"/>
  <c r="R30" i="35"/>
  <c r="S30" i="35" s="1"/>
  <c r="R22" i="35"/>
  <c r="S22" i="35" s="1"/>
  <c r="R18" i="35"/>
  <c r="S18" i="35" s="1"/>
  <c r="R14" i="35"/>
  <c r="S14" i="35" s="1"/>
  <c r="R10" i="35"/>
  <c r="S10" i="35" s="1"/>
  <c r="I34" i="35"/>
  <c r="I30" i="35"/>
  <c r="J30" i="35" s="1"/>
  <c r="I26" i="35"/>
  <c r="I22" i="35"/>
  <c r="J22" i="35" s="1"/>
  <c r="I18" i="35"/>
  <c r="J18" i="35" s="1"/>
  <c r="I14" i="35"/>
  <c r="J14" i="35" s="1"/>
  <c r="I10" i="35"/>
  <c r="J10" i="35" s="1"/>
  <c r="J47" i="35"/>
  <c r="I16" i="51" s="1"/>
  <c r="S7" i="35"/>
  <c r="W14" i="35" l="1"/>
  <c r="H51" i="49" s="1"/>
  <c r="X10" i="35"/>
  <c r="I50" i="49" s="1"/>
  <c r="X14" i="35"/>
  <c r="I51" i="49" s="1"/>
  <c r="W10" i="35"/>
  <c r="H50" i="49" s="1"/>
  <c r="H53" i="49"/>
  <c r="V24" i="35"/>
  <c r="V23" i="35"/>
  <c r="I53" i="49"/>
  <c r="X23" i="35"/>
  <c r="X24" i="35"/>
  <c r="M23" i="35"/>
  <c r="O33" i="35"/>
  <c r="O24" i="35"/>
  <c r="O23" i="35"/>
  <c r="M33" i="35"/>
  <c r="M34" i="35"/>
  <c r="M24" i="35"/>
  <c r="O34" i="35"/>
  <c r="O13" i="35"/>
  <c r="O14" i="35"/>
  <c r="H27" i="49"/>
  <c r="I32" i="49"/>
  <c r="I28" i="49"/>
  <c r="I29" i="49"/>
  <c r="I26" i="49"/>
  <c r="H28" i="49"/>
  <c r="I14" i="50"/>
  <c r="H14" i="50"/>
  <c r="E8" i="49"/>
  <c r="E12" i="49"/>
  <c r="D12" i="49"/>
  <c r="H14" i="49"/>
  <c r="D13" i="49"/>
  <c r="E13" i="49"/>
  <c r="D9" i="49"/>
  <c r="H10" i="49"/>
  <c r="D11" i="49"/>
  <c r="I14" i="49"/>
  <c r="J11" i="35"/>
  <c r="J27" i="35"/>
  <c r="J8" i="35"/>
  <c r="E9" i="49" s="1"/>
  <c r="I42" i="49"/>
  <c r="H43" i="49"/>
  <c r="J43" i="49" s="1"/>
  <c r="H42" i="49"/>
  <c r="J9" i="35"/>
  <c r="D10" i="49"/>
  <c r="J34" i="35"/>
  <c r="H13" i="49"/>
  <c r="J33" i="35"/>
  <c r="H12" i="49"/>
  <c r="J25" i="35"/>
  <c r="H8" i="49"/>
  <c r="J29" i="35"/>
  <c r="J26" i="35"/>
  <c r="H9" i="49"/>
  <c r="J17" i="35"/>
  <c r="D14" i="49"/>
  <c r="J48" i="35"/>
  <c r="O15" i="35" l="1"/>
  <c r="O16" i="35" s="1"/>
  <c r="I25" i="49" s="1"/>
  <c r="M25" i="35"/>
  <c r="M26" i="35" s="1"/>
  <c r="H31" i="49" s="1"/>
  <c r="X25" i="35"/>
  <c r="V25" i="35"/>
  <c r="O25" i="35"/>
  <c r="O26" i="35" s="1"/>
  <c r="I31" i="49" s="1"/>
  <c r="J51" i="49"/>
  <c r="M35" i="35"/>
  <c r="M36" i="35" s="1"/>
  <c r="H37" i="49" s="1"/>
  <c r="O35" i="35"/>
  <c r="I36" i="49" s="1"/>
  <c r="J49" i="35"/>
  <c r="I17" i="51"/>
  <c r="AJ26" i="35"/>
  <c r="I21" i="50"/>
  <c r="I8" i="49"/>
  <c r="I10" i="49"/>
  <c r="I11" i="49"/>
  <c r="I9" i="49"/>
  <c r="I13" i="49"/>
  <c r="E11" i="49"/>
  <c r="E14" i="49"/>
  <c r="I12" i="49"/>
  <c r="E10" i="49"/>
  <c r="H24" i="49"/>
  <c r="M16" i="35"/>
  <c r="I24" i="49" l="1"/>
  <c r="J17" i="51"/>
  <c r="K26" i="56"/>
  <c r="H36" i="49"/>
  <c r="J31" i="49"/>
  <c r="J14" i="49"/>
  <c r="K11" i="56" s="1"/>
  <c r="O36" i="35"/>
  <c r="I37" i="49" s="1"/>
  <c r="J37" i="49" s="1"/>
  <c r="I22" i="50"/>
  <c r="J22" i="50" s="1"/>
  <c r="H30" i="49"/>
  <c r="AJ16" i="35"/>
  <c r="I16" i="50" s="1"/>
  <c r="I15" i="50"/>
  <c r="AI16" i="35"/>
  <c r="H15" i="50"/>
  <c r="I30" i="49"/>
  <c r="H25" i="49"/>
  <c r="J25" i="49" s="1"/>
  <c r="X26" i="35"/>
  <c r="I58" i="49" s="1"/>
  <c r="I57" i="49"/>
  <c r="V26" i="35"/>
  <c r="H57" i="49"/>
  <c r="B73" i="34"/>
  <c r="A73" i="35" s="1"/>
  <c r="B46" i="34"/>
  <c r="A46" i="35" s="1"/>
  <c r="B7" i="34"/>
  <c r="A7" i="35" s="1"/>
  <c r="K14" i="56" l="1"/>
  <c r="H16" i="50"/>
  <c r="J16" i="50" s="1"/>
  <c r="K23" i="56"/>
  <c r="H58" i="49"/>
  <c r="J58" i="49" s="1"/>
  <c r="K20" i="56"/>
  <c r="D6" i="31" l="1"/>
  <c r="D7" i="31"/>
  <c r="D8" i="31"/>
  <c r="D9" i="31"/>
  <c r="D5" i="31"/>
  <c r="A33" i="31" l="1" a="1"/>
  <c r="A33" i="31" s="1"/>
  <c r="B33" i="31" l="1"/>
  <c r="C33" i="31"/>
  <c r="D33" i="31"/>
  <c r="G127" i="35"/>
  <c r="G16" i="48" s="1"/>
  <c r="H127" i="35"/>
  <c r="I127" i="35" s="1"/>
  <c r="B19" i="31" l="1"/>
  <c r="K123" i="35" s="1"/>
  <c r="F123" i="35" s="1"/>
  <c r="F12" i="48" s="1"/>
  <c r="B20" i="31"/>
  <c r="K124" i="35" s="1"/>
  <c r="F124" i="35" s="1"/>
  <c r="F13" i="48" s="1"/>
  <c r="B15" i="31"/>
  <c r="K119" i="35" s="1"/>
  <c r="F119" i="35" s="1"/>
  <c r="F8" i="48" s="1"/>
  <c r="B22" i="31"/>
  <c r="K126" i="35" s="1"/>
  <c r="F126" i="35" s="1"/>
  <c r="F15" i="48" s="1"/>
  <c r="B17" i="31"/>
  <c r="K121" i="35" s="1"/>
  <c r="F121" i="35" s="1"/>
  <c r="F10" i="48" s="1"/>
  <c r="B26" i="31"/>
  <c r="K130" i="35" s="1"/>
  <c r="F130" i="35" s="1"/>
  <c r="F19" i="48" s="1"/>
  <c r="B23" i="31"/>
  <c r="K127" i="35" s="1"/>
  <c r="F127" i="35" s="1"/>
  <c r="F16" i="48" s="1"/>
  <c r="B25" i="31"/>
  <c r="K129" i="35" s="1"/>
  <c r="F129" i="35" s="1"/>
  <c r="F18" i="48" s="1"/>
  <c r="B21" i="31"/>
  <c r="K125" i="35" s="1"/>
  <c r="F125" i="35" s="1"/>
  <c r="F14" i="48" s="1"/>
  <c r="B24" i="31"/>
  <c r="K128" i="35" s="1"/>
  <c r="F128" i="35" s="1"/>
  <c r="F17" i="48" s="1"/>
  <c r="B16" i="31"/>
  <c r="K120" i="35" s="1"/>
  <c r="F120" i="35" s="1"/>
  <c r="G120" i="35" s="1"/>
  <c r="G9" i="48" s="1"/>
  <c r="B18" i="31"/>
  <c r="K122" i="35" s="1"/>
  <c r="F122" i="35" s="1"/>
  <c r="G123" i="35"/>
  <c r="G12" i="48" s="1"/>
  <c r="H123" i="35"/>
  <c r="I123" i="35" s="1"/>
  <c r="G125" i="35"/>
  <c r="G14" i="48" s="1"/>
  <c r="H125" i="35"/>
  <c r="I125" i="35" s="1"/>
  <c r="G129" i="35"/>
  <c r="G18" i="48" s="1"/>
  <c r="H129" i="35"/>
  <c r="I129" i="35" s="1"/>
  <c r="G124" i="35"/>
  <c r="G13" i="48" s="1"/>
  <c r="H124" i="35"/>
  <c r="I124" i="35" s="1"/>
  <c r="G119" i="35"/>
  <c r="G8" i="48" s="1"/>
  <c r="H119" i="35"/>
  <c r="I119" i="35" s="1"/>
  <c r="G128" i="35"/>
  <c r="G17" i="48" s="1"/>
  <c r="H128" i="35"/>
  <c r="I128" i="35" s="1"/>
  <c r="G126" i="35"/>
  <c r="G15" i="48" s="1"/>
  <c r="H126" i="35"/>
  <c r="I126" i="35" s="1"/>
  <c r="G121" i="35"/>
  <c r="G10" i="48" s="1"/>
  <c r="H121" i="35"/>
  <c r="I121" i="35" s="1"/>
  <c r="G130" i="35"/>
  <c r="G19" i="48" s="1"/>
  <c r="H130" i="35"/>
  <c r="I130" i="35" s="1"/>
  <c r="H16" i="48"/>
  <c r="I16" i="48" s="1"/>
  <c r="F11" i="48" l="1"/>
  <c r="G122" i="35"/>
  <c r="G11" i="48" s="1"/>
  <c r="H122" i="35"/>
  <c r="I122" i="35" s="1"/>
  <c r="F9" i="48"/>
  <c r="H120" i="35"/>
  <c r="H9" i="48" s="1"/>
  <c r="I9" i="48" s="1"/>
  <c r="H19" i="48"/>
  <c r="I19" i="48" s="1"/>
  <c r="H10" i="48"/>
  <c r="I10" i="48" s="1"/>
  <c r="H17" i="48"/>
  <c r="I17" i="48" s="1"/>
  <c r="H13" i="48"/>
  <c r="I13" i="48" s="1"/>
  <c r="H15" i="48"/>
  <c r="I15" i="48" s="1"/>
  <c r="H8" i="48"/>
  <c r="I8" i="48" s="1"/>
  <c r="H12" i="48"/>
  <c r="I12" i="48" s="1"/>
  <c r="H18" i="48"/>
  <c r="I18" i="48" s="1"/>
  <c r="H14" i="48"/>
  <c r="I14" i="48" s="1"/>
  <c r="I120" i="35" l="1"/>
  <c r="I131" i="35" s="1"/>
  <c r="H11" i="48"/>
  <c r="I11" i="48" s="1"/>
  <c r="K8" i="56" l="1"/>
  <c r="J19" i="48" l="1"/>
</calcChain>
</file>

<file path=xl/comments1.xml><?xml version="1.0" encoding="utf-8"?>
<comments xmlns="http://schemas.openxmlformats.org/spreadsheetml/2006/main">
  <authors>
    <author>Englehart Family</author>
    <author>David Englehart</author>
    <author>Johnsson, Sven-Erik Ivan</author>
  </authors>
  <commentList>
    <comment ref="AA4" authorId="0" shapeId="0">
      <text>
        <r>
          <rPr>
            <b/>
            <sz val="8"/>
            <color indexed="81"/>
            <rFont val="Tahoma"/>
            <family val="2"/>
          </rPr>
          <t>Change criteria as needed
min criteria:
&lt;70 kVp: ____mm Al
&gt;70 kVp: 2.50 mm Al</t>
        </r>
      </text>
    </comment>
    <comment ref="AD8" authorId="1" shapeId="0">
      <text>
        <r>
          <rPr>
            <b/>
            <sz val="10"/>
            <color indexed="81"/>
            <rFont val="Tahoma"/>
            <family val="2"/>
          </rPr>
          <t>min criteria:
&lt;70 kVp: ____ mm Al
&gt;70 kVp: 2.50 mm Al</t>
        </r>
      </text>
    </comment>
    <comment ref="AD15" authorId="1" shapeId="0">
      <text>
        <r>
          <rPr>
            <b/>
            <sz val="10"/>
            <color indexed="81"/>
            <rFont val="Tahoma"/>
            <family val="2"/>
          </rPr>
          <t>min criteria:
&lt;70 kVp: 1.30 mm Al
&gt;70 kVp: 2.30 mm Al</t>
        </r>
      </text>
    </comment>
    <comment ref="H45" authorId="2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Korrigert for avstand mellom probe og detektor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Korrigert for avstand mellom probe og detektor</t>
        </r>
      </text>
    </comment>
    <comment ref="H72" authorId="2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Korrigert for avstand mellom probe og detektor</t>
        </r>
      </text>
    </comment>
    <comment ref="H91" authorId="2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Korrigert for avstand mellom probe og detektor</t>
        </r>
      </text>
    </comment>
    <comment ref="J117" authorId="2" shapeId="0">
      <text>
        <r>
          <rPr>
            <sz val="9"/>
            <color indexed="81"/>
            <rFont val="Tahoma"/>
            <family val="2"/>
          </rPr>
          <t xml:space="preserve">Fra ark "DAP koeffisienter"
</t>
        </r>
      </text>
    </comment>
    <comment ref="K117" authorId="2" shapeId="0">
      <text>
        <r>
          <rPr>
            <b/>
            <sz val="9"/>
            <color indexed="81"/>
            <rFont val="Tahoma"/>
            <family val="2"/>
          </rPr>
          <t xml:space="preserve">Fra ark "DAP koeffisienter"
</t>
        </r>
      </text>
    </comment>
  </commentList>
</comments>
</file>

<file path=xl/comments2.xml><?xml version="1.0" encoding="utf-8"?>
<comments xmlns="http://schemas.openxmlformats.org/spreadsheetml/2006/main">
  <authors>
    <author>David Englehart</author>
    <author>Johnsson, Sven-Erik Ivan</author>
    <author>La Russa, Valentina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</rPr>
          <t>Starte på rad 7 og kol I</t>
        </r>
      </text>
    </comment>
    <comment ref="G45" authorId="1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Alt1: Automatisk beregnet fra nom mA og målt s.
Alt 2: Avlest på skjarm etter skponering (falling load gen)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</rPr>
          <t>Starte på rad 46 og kol I</t>
        </r>
      </text>
    </comment>
    <comment ref="C49" authorId="2" shapeId="0">
      <text>
        <r>
          <rPr>
            <b/>
            <sz val="9"/>
            <color indexed="81"/>
            <rFont val="Tahoma"/>
            <family val="2"/>
          </rPr>
          <t>La Russa, Valentina:</t>
        </r>
        <r>
          <rPr>
            <sz val="9"/>
            <color indexed="81"/>
            <rFont val="Tahoma"/>
            <family val="2"/>
          </rPr>
          <t xml:space="preserve">
Noter EI
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Alt1: Automatisk beregnet fra nom mA og målt s.
Alt 2: Avlest på skjarm etter skponering (falling load gen)</t>
        </r>
      </text>
    </comment>
    <comment ref="I65" authorId="1" shapeId="0">
      <text>
        <r>
          <rPr>
            <b/>
            <sz val="9"/>
            <color indexed="81"/>
            <rFont val="Tahoma"/>
            <family val="2"/>
          </rPr>
          <t>Starte på rad 65 og kol I</t>
        </r>
      </text>
    </comment>
    <comment ref="G72" authorId="1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Alt1: Automatisk beregnet fra nom mA og målt s.
Alt 2: Avlest på skjarm etter skponering (falling load gen)</t>
        </r>
      </text>
    </comment>
    <comment ref="I73" authorId="1" shapeId="0">
      <text>
        <r>
          <rPr>
            <b/>
            <sz val="9"/>
            <color indexed="81"/>
            <rFont val="Tahoma"/>
            <family val="2"/>
          </rPr>
          <t>Starte på rad 73 og kol I</t>
        </r>
      </text>
    </comment>
    <comment ref="C76" authorId="2" shapeId="0">
      <text>
        <r>
          <rPr>
            <b/>
            <sz val="9"/>
            <color indexed="81"/>
            <rFont val="Tahoma"/>
            <family val="2"/>
          </rPr>
          <t>La Russa, Valentina:</t>
        </r>
        <r>
          <rPr>
            <sz val="9"/>
            <color indexed="81"/>
            <rFont val="Tahoma"/>
            <family val="2"/>
          </rPr>
          <t xml:space="preserve">
Noter EI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Alt1: Automatisk beregnet fra nom mA og målt s.
Alt 2: Avlest på skjarm etter skponering (falling load gen)</t>
        </r>
      </text>
    </comment>
    <comment ref="I92" authorId="1" shapeId="0">
      <text>
        <r>
          <rPr>
            <b/>
            <sz val="9"/>
            <color indexed="81"/>
            <rFont val="Tahoma"/>
            <family val="2"/>
          </rPr>
          <t>Starte på rad 92 og kol I</t>
        </r>
      </text>
    </comment>
  </commentList>
</comments>
</file>

<file path=xl/comments3.xml><?xml version="1.0" encoding="utf-8"?>
<comments xmlns="http://schemas.openxmlformats.org/spreadsheetml/2006/main">
  <authors>
    <author>Johnsson, Sven-Erik Ivan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Johnsson, Sven-Erik Ivan:</t>
        </r>
        <r>
          <rPr>
            <sz val="9"/>
            <color indexed="81"/>
            <rFont val="Tahoma"/>
            <family val="2"/>
          </rPr>
          <t xml:space="preserve">
Kalibreringsfaktor ved krysskalibrering av DAP metere. Gjelder for strålekvalitet RQR5  (70kV). For øvrige strålekvaliteter må dette tall multipliseres med tilsvarende korrksjonsfaktor k</t>
        </r>
        <r>
          <rPr>
            <sz val="8"/>
            <color indexed="81"/>
            <rFont val="Tahoma"/>
            <family val="2"/>
          </rPr>
          <t>Q</t>
        </r>
      </text>
    </comment>
  </commentList>
</comments>
</file>

<file path=xl/sharedStrings.xml><?xml version="1.0" encoding="utf-8"?>
<sst xmlns="http://schemas.openxmlformats.org/spreadsheetml/2006/main" count="1031" uniqueCount="529">
  <si>
    <t>HVL</t>
  </si>
  <si>
    <t>Stråleutbytte</t>
  </si>
  <si>
    <t>kV</t>
  </si>
  <si>
    <t>Reproduserbarhet eksponeringstid ved var mAs</t>
  </si>
  <si>
    <t>Reproduserbarhet eksponeringstid ved fast mAs</t>
  </si>
  <si>
    <t>Reproduserbarhet stråleutbytte ved fast mAs og fast ms</t>
  </si>
  <si>
    <t>Reproduserbarhet stråleutbytte ved fast mA, var ms</t>
  </si>
  <si>
    <t>cm</t>
  </si>
  <si>
    <t>Nei</t>
  </si>
  <si>
    <t>Eksponeringstid</t>
  </si>
  <si>
    <t>kV reproduserbarhet</t>
  </si>
  <si>
    <t>Reproduserbarhet kV ved fast mAs</t>
  </si>
  <si>
    <t>Reproduserbarhet kV ved variabel ms</t>
  </si>
  <si>
    <t>Reproduserbarhet kV ved variabel mA</t>
  </si>
  <si>
    <t>Største kV avvik fra gjennomsnitt, fast mAs</t>
  </si>
  <si>
    <t>Toleranse</t>
  </si>
  <si>
    <t>mmAl</t>
  </si>
  <si>
    <t>kV nøyaktighet ved fast mAs</t>
  </si>
  <si>
    <t>Avvik fra gjennomsnittlig ms ved varibel mAs</t>
  </si>
  <si>
    <t>Avvik fra Gjennomsnittlig eksponeringstid ved fast mAs</t>
  </si>
  <si>
    <t>Reproduserbarhet stråleutbytte ved var mA, fast ms</t>
  </si>
  <si>
    <t>Linearitet ved stråleutbytte</t>
  </si>
  <si>
    <t>Maks avvik enkelblender (mm)</t>
  </si>
  <si>
    <t>Lysfelt</t>
  </si>
  <si>
    <t>Ja</t>
  </si>
  <si>
    <t>Kontrolltype</t>
  </si>
  <si>
    <t>(Liste til valg av type kontroll i ark "Start")</t>
  </si>
  <si>
    <t>Dato for kontroll:</t>
  </si>
  <si>
    <t>Kontroll utført av:</t>
  </si>
  <si>
    <t>V+H+M</t>
  </si>
  <si>
    <t>V</t>
  </si>
  <si>
    <t>H</t>
  </si>
  <si>
    <t>M</t>
  </si>
  <si>
    <t>AEC</t>
  </si>
  <si>
    <t>Reproduserbarhet</t>
  </si>
  <si>
    <t>1 mmCu</t>
  </si>
  <si>
    <t>2 mmCu</t>
  </si>
  <si>
    <t>Kammerkombinasjoner, maksimalt avvik</t>
  </si>
  <si>
    <t>Reproduserbarhet, maksimalt avvik</t>
  </si>
  <si>
    <t>Samsvar mellom kamre, maksimalt avvik</t>
  </si>
  <si>
    <t>Tykkelseskompensasjon, maksimalt avvik</t>
  </si>
  <si>
    <t>Samsvar mellom kamre ved 1 mmCu</t>
  </si>
  <si>
    <t>Bildekvalitet</t>
  </si>
  <si>
    <t>Oppløsning (lp/mm)</t>
  </si>
  <si>
    <t>i.a.</t>
  </si>
  <si>
    <t>Bildekval/perp</t>
  </si>
  <si>
    <t>Nøyaktighet ms</t>
  </si>
  <si>
    <t>Rapport RF-RD 361, METODER 
KVALITETSKONTROLL, RØNTGEN (2005),
Avdeling for diagnostisk fysikk og teknikk ADFT</t>
  </si>
  <si>
    <t>Perpendikularitet</t>
  </si>
  <si>
    <t>Lysstyrke og symmetri, avvik fra midtlinje &lt;</t>
  </si>
  <si>
    <t>Lysfelt/strålefelt, maks avvik % av FFA enkeltblender</t>
  </si>
  <si>
    <t>Ref</t>
  </si>
  <si>
    <t>µGy</t>
  </si>
  <si>
    <t>mAs</t>
  </si>
  <si>
    <t>Dose (µGy)</t>
  </si>
  <si>
    <t>kVp</t>
  </si>
  <si>
    <t>a0</t>
  </si>
  <si>
    <t>a1</t>
  </si>
  <si>
    <t>a2</t>
  </si>
  <si>
    <t>a3</t>
  </si>
  <si>
    <t>Q</t>
  </si>
  <si>
    <t>RQR2</t>
  </si>
  <si>
    <t>RQR5</t>
  </si>
  <si>
    <t>RQR8</t>
  </si>
  <si>
    <t>RQR9</t>
  </si>
  <si>
    <t>RQR10</t>
  </si>
  <si>
    <r>
      <t>k</t>
    </r>
    <r>
      <rPr>
        <b/>
        <sz val="8"/>
        <color theme="1"/>
        <rFont val="Calibri"/>
        <family val="2"/>
        <scheme val="minor"/>
      </rPr>
      <t>Q</t>
    </r>
  </si>
  <si>
    <t>Strålekvalitet</t>
  </si>
  <si>
    <t>Korr.faktor</t>
  </si>
  <si>
    <t>Utstedelesdato:</t>
  </si>
  <si>
    <r>
      <t>N</t>
    </r>
    <r>
      <rPr>
        <sz val="9"/>
        <color theme="1"/>
        <rFont val="Calibri"/>
        <family val="2"/>
        <scheme val="minor"/>
      </rPr>
      <t>KA</t>
    </r>
  </si>
  <si>
    <r>
      <t>N</t>
    </r>
    <r>
      <rPr>
        <sz val="8"/>
        <color theme="1"/>
        <rFont val="Calibri"/>
        <family val="2"/>
        <scheme val="minor"/>
      </rPr>
      <t>KA</t>
    </r>
  </si>
  <si>
    <r>
      <t>N</t>
    </r>
    <r>
      <rPr>
        <b/>
        <sz val="9"/>
        <color theme="1"/>
        <rFont val="Calibri"/>
        <family val="2"/>
        <scheme val="minor"/>
      </rPr>
      <t>KA,Q</t>
    </r>
    <r>
      <rPr>
        <b/>
        <sz val="8"/>
        <color theme="1"/>
        <rFont val="Calibri"/>
        <family val="2"/>
        <scheme val="minor"/>
      </rPr>
      <t>0</t>
    </r>
  </si>
  <si>
    <r>
      <t>Interpolerte kalibreringsfaktorer N</t>
    </r>
    <r>
      <rPr>
        <b/>
        <sz val="10"/>
        <color theme="1"/>
        <rFont val="Calibri"/>
        <family val="2"/>
        <scheme val="minor"/>
      </rPr>
      <t>KA</t>
    </r>
    <r>
      <rPr>
        <b/>
        <sz val="12"/>
        <color theme="1"/>
        <rFont val="Calibri"/>
        <family val="2"/>
        <scheme val="minor"/>
      </rPr>
      <t xml:space="preserve"> ved øvrige kV</t>
    </r>
  </si>
  <si>
    <t>Polynom koeffisienter for trendline (using command: rettlinje)</t>
  </si>
  <si>
    <t>Brukt kV</t>
  </si>
  <si>
    <t>Nom kV</t>
  </si>
  <si>
    <t>mA</t>
  </si>
  <si>
    <t>Program</t>
  </si>
  <si>
    <t/>
  </si>
  <si>
    <t>Machine Settings</t>
  </si>
  <si>
    <t>Manual Exposure Settings</t>
  </si>
  <si>
    <t>Exposure Number</t>
  </si>
  <si>
    <t>Focal Spot</t>
  </si>
  <si>
    <t>mS</t>
  </si>
  <si>
    <t>Density</t>
  </si>
  <si>
    <t>FF</t>
  </si>
  <si>
    <t>GF</t>
  </si>
  <si>
    <t>P/F Criteria</t>
  </si>
  <si>
    <t>Exp. #</t>
  </si>
  <si>
    <t>Time mS</t>
  </si>
  <si>
    <t>Meas kV</t>
  </si>
  <si>
    <t>% error</t>
  </si>
  <si>
    <t>Pass/Fail</t>
  </si>
  <si>
    <t>Meas Time</t>
  </si>
  <si>
    <t>µGy/mAs</t>
  </si>
  <si>
    <t>HVL@70 kV</t>
  </si>
  <si>
    <t>Tol</t>
  </si>
  <si>
    <t>Kammer</t>
  </si>
  <si>
    <t>V,H,M</t>
  </si>
  <si>
    <t>Bord AEC 1 mmCu, GF, FFA 110, u/raster</t>
  </si>
  <si>
    <t>Bord AEC 2 mmCu, GF, FFA 110, u/raster</t>
  </si>
  <si>
    <t>Vegg AEC 2 mmCu, GF, FFA 110, u/raster</t>
  </si>
  <si>
    <t>Målinger fra RAYSAFE</t>
  </si>
  <si>
    <t>Repr.barhet</t>
  </si>
  <si>
    <t>"-1"</t>
  </si>
  <si>
    <t>"-2"</t>
  </si>
  <si>
    <t>"+1"</t>
  </si>
  <si>
    <t>"+2"</t>
  </si>
  <si>
    <t>Gj.snitt</t>
  </si>
  <si>
    <t>St. avvik</t>
  </si>
  <si>
    <t>Maks avvik</t>
  </si>
  <si>
    <t>% endring fra "0"</t>
  </si>
  <si>
    <t>Snitt (µGy)</t>
  </si>
  <si>
    <t>kVp Reproduserbarhet</t>
  </si>
  <si>
    <t>Fast mAs</t>
  </si>
  <si>
    <t>Var mAs</t>
  </si>
  <si>
    <t>Diagrammer</t>
  </si>
  <si>
    <t>kV2</t>
  </si>
  <si>
    <r>
      <t>Linearitet: Stråleutbytte vs. kV</t>
    </r>
    <r>
      <rPr>
        <b/>
        <vertAlign val="superscript"/>
        <sz val="9"/>
        <color rgb="FF000000"/>
        <rFont val="Arial"/>
        <family val="2"/>
      </rPr>
      <t>2</t>
    </r>
  </si>
  <si>
    <t>Linearitet: Dose vs. mA, 81 kV</t>
  </si>
  <si>
    <t>Snitt alle</t>
  </si>
  <si>
    <t>Rør- og generatorparametre</t>
  </si>
  <si>
    <t>DAP måling</t>
  </si>
  <si>
    <t>µGym2</t>
  </si>
  <si>
    <t>DAP_REF</t>
  </si>
  <si>
    <t>Nka</t>
  </si>
  <si>
    <t>korr.faktor</t>
  </si>
  <si>
    <t>DAP_app</t>
  </si>
  <si>
    <t>Korr_REF</t>
  </si>
  <si>
    <t>Lysfelt/strålefelt</t>
  </si>
  <si>
    <t>Lysfelt synlig i full rombelysning?</t>
  </si>
  <si>
    <t>Lysfelt symmetri: Avvik &lt;1 cm?</t>
  </si>
  <si>
    <t>Brukt FFA (cm)</t>
  </si>
  <si>
    <t>Samsvar lysfelt/strålefelt:</t>
  </si>
  <si>
    <t>GF 10*10</t>
  </si>
  <si>
    <t>FF 20*20</t>
  </si>
  <si>
    <t>Avvik (mm)</t>
  </si>
  <si>
    <t>Tol    &lt;</t>
  </si>
  <si>
    <t>av  FFA</t>
  </si>
  <si>
    <t>Type kontroll:</t>
  </si>
  <si>
    <t xml:space="preserve">RAPPORT FRA KVALITETSKONTROLL AV DIAGNOSTISK RØNTGENUTSTYR: </t>
  </si>
  <si>
    <t>ÅRLIG STATUSKONTROLL</t>
  </si>
  <si>
    <t>KONTROLL ETTER RØRSKIFTE</t>
  </si>
  <si>
    <t>KONTROLL ETTER REPARASJON</t>
  </si>
  <si>
    <t>KONTROLL ETTER OPPGRADERING</t>
  </si>
  <si>
    <t>MOTTAKSKONTROLL</t>
  </si>
  <si>
    <t>UTSTYRSTYPE:</t>
  </si>
  <si>
    <t>KONTROLLDATO:</t>
  </si>
  <si>
    <t>APPARAT</t>
  </si>
  <si>
    <t>MÅLEUTSTYR</t>
  </si>
  <si>
    <t>INNHOLD:</t>
  </si>
  <si>
    <t>Eksponeringstid Reproduserbarhet</t>
  </si>
  <si>
    <t>Avvik</t>
  </si>
  <si>
    <t>Merknader: (interne filter mm)</t>
  </si>
  <si>
    <t>FABRIKAT/MODELL:</t>
  </si>
  <si>
    <t>Merknader:</t>
  </si>
  <si>
    <t>Kontrollen utføres med  eksternt referanse DAP-meter montert på blenderhus.</t>
  </si>
  <si>
    <r>
      <t>DAP</t>
    </r>
    <r>
      <rPr>
        <sz val="8"/>
        <rFont val="Arial"/>
        <family val="2"/>
      </rPr>
      <t>APP</t>
    </r>
  </si>
  <si>
    <r>
      <t>DAP</t>
    </r>
    <r>
      <rPr>
        <sz val="8"/>
        <rFont val="Arial"/>
        <family val="2"/>
      </rPr>
      <t>REF</t>
    </r>
  </si>
  <si>
    <t>%</t>
  </si>
  <si>
    <t xml:space="preserve">Figuren viser avvik mellom utstyrets DAP og referanse DAP oppgitt i % ved forskjellige kV. </t>
  </si>
  <si>
    <t>Sykehus:</t>
  </si>
  <si>
    <t>Labbnavn:</t>
  </si>
  <si>
    <t>s.w. versjon:</t>
  </si>
  <si>
    <t>Utstyr nr MEDUSA:</t>
  </si>
  <si>
    <t>Kalibreringsdato:</t>
  </si>
  <si>
    <t>FABRIKAT:</t>
  </si>
  <si>
    <t>MODELL:</t>
  </si>
  <si>
    <t>LEVERANDØR:</t>
  </si>
  <si>
    <t>BYGG:</t>
  </si>
  <si>
    <t>UTSTYRSTYPE/LABNR:</t>
  </si>
  <si>
    <t>Raysafe Medusa nr:</t>
  </si>
  <si>
    <t>SYKEHUS /BYGG:</t>
  </si>
  <si>
    <t>Anlegg  MEDUSA:</t>
  </si>
  <si>
    <t>Detektorer:</t>
  </si>
  <si>
    <t>Interne filter?</t>
  </si>
  <si>
    <t>Anm:</t>
  </si>
  <si>
    <t>Snitt</t>
  </si>
  <si>
    <t>St.avvik</t>
  </si>
  <si>
    <t>Reproduserb.</t>
  </si>
  <si>
    <t>Snitt HVL</t>
  </si>
  <si>
    <t>Set  kV</t>
  </si>
  <si>
    <t>Målt kV</t>
  </si>
  <si>
    <t>Avvik %</t>
  </si>
  <si>
    <t>VARIABEL ms</t>
  </si>
  <si>
    <t>VARIABEL mA</t>
  </si>
  <si>
    <t>FAST mAs</t>
  </si>
  <si>
    <t>Reproduserbarhet ved fast mAs (tol&lt; 5%)</t>
  </si>
  <si>
    <t>HVL er målt ved 70 kV uten interne filter. Toleranse &gt;2,5 mm Al.</t>
  </si>
  <si>
    <t>Eksponeringstid Nøyaktighet v/fast mAs</t>
  </si>
  <si>
    <t>Eksponeringer ok?</t>
  </si>
  <si>
    <t>Eksponeringstidens nøyaktighet ved fast mAs (tol &lt; 5%)</t>
  </si>
  <si>
    <t>Eksponeringstidens nøyaktighet ved variabel  mAs (tol &lt; 10%)</t>
  </si>
  <si>
    <t>Eksponeringstidens reproduserbarhet (tol &lt;5 %)</t>
  </si>
  <si>
    <t>Stråleutbyttets reproduserbarhet måles ved både fast- og variabel mAs ved 81 kV.</t>
  </si>
  <si>
    <r>
      <t xml:space="preserve">Reproduserbarhet stråleutbytte </t>
    </r>
    <r>
      <rPr>
        <b/>
        <sz val="8"/>
        <rFont val="Arial"/>
        <family val="2"/>
      </rPr>
      <t>ved fast mA og ms</t>
    </r>
  </si>
  <si>
    <r>
      <t xml:space="preserve">Reproduserbarhet stråleutbytte </t>
    </r>
    <r>
      <rPr>
        <b/>
        <sz val="8"/>
        <rFont val="Arial"/>
        <family val="2"/>
      </rPr>
      <t>ved var mA, fast ms</t>
    </r>
  </si>
  <si>
    <t>Gjennomnsnitt</t>
  </si>
  <si>
    <t>Standardavvik</t>
  </si>
  <si>
    <r>
      <t xml:space="preserve">Reproduserbarhet stråleutbytte </t>
    </r>
    <r>
      <rPr>
        <b/>
        <sz val="8"/>
        <rFont val="Arial"/>
        <family val="2"/>
      </rPr>
      <t>ved fast mA, var ms</t>
    </r>
  </si>
  <si>
    <t>Reproduserbarhet ved fast mA og fast ms (tol &lt; 5%)</t>
  </si>
  <si>
    <t>Reproduserbarhet ved variabel mA og fast ms (tol &lt; 10%)</t>
  </si>
  <si>
    <t>Reproduserbarhet ved fast mA og variabelms (tol &lt; 10%)</t>
  </si>
  <si>
    <t>Stråleutbytte i µGy/mAs måles ved alle fokii og 81 kV. FFA er korrigert til 100 cm. Ingen interne filter.</t>
  </si>
  <si>
    <t>Figuren under viser lineæritet av stråleutbytte ved varierende kV (kvadrert kV)</t>
  </si>
  <si>
    <t>Figuren under viser lineæritet av dose ved varierende mA. 81 kV er  brukt ved alle målinger.</t>
  </si>
  <si>
    <t xml:space="preserve"> Reproduserbarhet Midtkammer ved 1 mm Cu</t>
  </si>
  <si>
    <t>Samsvar mellom  kamre ved 1 mm Cu</t>
  </si>
  <si>
    <t>Avvik fra snitt alle</t>
  </si>
  <si>
    <t>Innstillinger</t>
  </si>
  <si>
    <t>FFA</t>
  </si>
  <si>
    <t>FPA</t>
  </si>
  <si>
    <t>ms v/1 Cu</t>
  </si>
  <si>
    <t>ms v/2 Cu</t>
  </si>
  <si>
    <t>Tykkelseskompensasjon midtkammer ved 1 og 2 mm Cu</t>
  </si>
  <si>
    <t>og 1 mm Cu</t>
  </si>
  <si>
    <t>Reproduserbarhet (tol &lt; 10%)</t>
  </si>
  <si>
    <t>Reproduserbarhet midtkammer ved 1 mm Cu</t>
  </si>
  <si>
    <t>Gjennomsnitt detektordose (µGy)</t>
  </si>
  <si>
    <t>Snitt alle kamre (µGy)</t>
  </si>
  <si>
    <t>Avvik venstre kammer fra gjennomsnitt (%)</t>
  </si>
  <si>
    <t>Avvik høyre kammer fra gjennomsnitt (%)</t>
  </si>
  <si>
    <t>Avvik midtkammer fra gjennomsnitt (%)</t>
  </si>
  <si>
    <t>Maksimalt avvik fra gjennomsnitt (tol &lt; 10%)</t>
  </si>
  <si>
    <t>Tykkelsekompensasjon ved 1 og 2 mm Cu</t>
  </si>
  <si>
    <t>% Avvik</t>
  </si>
  <si>
    <t>Detektordose venstre kammer (µGy)</t>
  </si>
  <si>
    <t>Detektordose høyre kammer (µGy)</t>
  </si>
  <si>
    <t>Detektordose midtkammer (µGy)</t>
  </si>
  <si>
    <t>Maksimalt avvik (tol 10%)</t>
  </si>
  <si>
    <t>snitt</t>
  </si>
  <si>
    <t>Density korr. 1 mm Cu og midtkammer</t>
  </si>
  <si>
    <t>Innstilling</t>
  </si>
  <si>
    <t xml:space="preserve">Detektordose ved forskjellig kV med 1 mm Cu og midtkammer (kV-kompensasjon)  </t>
  </si>
  <si>
    <t>Tol: Alle 6 sirkler synlige</t>
  </si>
  <si>
    <t>Tol: Kule innenfor sirkel</t>
  </si>
  <si>
    <t>Perpendikularitet ok?</t>
  </si>
  <si>
    <t>LKO Lavkontrast: Antall synlige sirkler (tol: alle 6 synlige)</t>
  </si>
  <si>
    <t>Dynamisk område: Antall synlige 4-kanter (tol: alle 6 synlige)</t>
  </si>
  <si>
    <t>Perpendikularitet (tol: kule innenfor sirkel?)</t>
  </si>
  <si>
    <t>Eksempelbilde fra et  Digrad bildekvalitetsfantom</t>
  </si>
  <si>
    <t xml:space="preserve">Denne rapporten presenterer resultater og vurdering etter  kvalitetskontroll av </t>
  </si>
  <si>
    <t xml:space="preserve">Diagnostisk røntgenutystyr.  Kvalitetskontroller utføres årlig for å vurdere </t>
  </si>
  <si>
    <t xml:space="preserve">røntgenutstyrets tilstand med tanke på minimalisering av dose til pasient og </t>
  </si>
  <si>
    <t>optimalisering av bildekvalitet/diagnostikk</t>
  </si>
  <si>
    <t xml:space="preserve">RESULTAT: </t>
  </si>
  <si>
    <t>1.Oppsummering</t>
  </si>
  <si>
    <t>Eksponeringstid Nøyaktighet v/var mA</t>
  </si>
  <si>
    <t>Sjekk av kV-korreksjon midtkammer</t>
  </si>
  <si>
    <t xml:space="preserve">Bord AEC </t>
  </si>
  <si>
    <t>1 mmCu, GF, FFA 110, u/raster</t>
  </si>
  <si>
    <t>2 mmCu, GF, FFA 110, u/raster</t>
  </si>
  <si>
    <t xml:space="preserve">Vegg AEC </t>
  </si>
  <si>
    <t>Anm. Rør- og generatorparametre:</t>
  </si>
  <si>
    <t>Anm. Bord AEC:</t>
  </si>
  <si>
    <t>Anm. Lysfelt/strålefelt:</t>
  </si>
  <si>
    <t>Program:</t>
  </si>
  <si>
    <t>Øvrige kommentarer til kontroll:</t>
  </si>
  <si>
    <t>Vedlegg: kV-diagrammer</t>
  </si>
  <si>
    <t>Eksp. nr:</t>
  </si>
  <si>
    <r>
      <t xml:space="preserve">kV_Dose Diagram: </t>
    </r>
    <r>
      <rPr>
        <b/>
        <sz val="12"/>
        <rFont val="Arial"/>
        <family val="2"/>
      </rPr>
      <t>FF</t>
    </r>
    <r>
      <rPr>
        <sz val="12"/>
        <rFont val="Arial"/>
        <family val="2"/>
      </rPr>
      <t>, 81  kV , 50 ms</t>
    </r>
  </si>
  <si>
    <r>
      <t xml:space="preserve">kV_Dose Diagram: </t>
    </r>
    <r>
      <rPr>
        <b/>
        <sz val="12"/>
        <rFont val="Arial"/>
        <family val="2"/>
      </rPr>
      <t>GF</t>
    </r>
    <r>
      <rPr>
        <sz val="12"/>
        <rFont val="Arial"/>
        <family val="2"/>
      </rPr>
      <t>, 81  kV , 50 ms</t>
    </r>
  </si>
  <si>
    <t>Utskrift til PDF</t>
  </si>
  <si>
    <t>Merk alle utskriftarkene (gruppere dem).  Velg Fil og skriv ut.</t>
  </si>
  <si>
    <t xml:space="preserve">Velg skriver "PDF creator" og velg "Aktive ark". Sjekke forhåndsvisning så det </t>
  </si>
  <si>
    <t xml:space="preserve">BORDDETEKTOR </t>
  </si>
  <si>
    <t>LØS DETEKTOR stor</t>
  </si>
  <si>
    <t xml:space="preserve">VEGGDETEKTOR </t>
  </si>
  <si>
    <t>Anm. Vegg AEC:</t>
  </si>
  <si>
    <t>Dynamisk område: 7 st 4-kanter (0-2,3 mm Cu)</t>
  </si>
  <si>
    <t>Tol: Alle 7 firkanter synlige</t>
  </si>
  <si>
    <t>Bildekval LKO</t>
  </si>
  <si>
    <t>Bildekval Dynamisk område</t>
  </si>
  <si>
    <t>LKO Lavkontrast (maks 6 sirkler)</t>
  </si>
  <si>
    <t>Dynamisk område (maks 7 firkanter)</t>
  </si>
  <si>
    <t>Lavkontrast objekter: 0,8-5,6% kontrast objekter</t>
  </si>
  <si>
    <t>HKO: 0,6 - 5,0 lp/mm</t>
  </si>
  <si>
    <t>Homogenitet: Sjekkes i tomt område i midten av bildet</t>
  </si>
  <si>
    <t>Homogent bilde?</t>
  </si>
  <si>
    <t>Homogenitet</t>
  </si>
  <si>
    <t>Data Digrad fantom:</t>
  </si>
  <si>
    <t>Dynamisk område: Antall synlige 4-kanter (tol: alle 7 synlige)</t>
  </si>
  <si>
    <t>Merkn.</t>
  </si>
  <si>
    <t>LØS DETEKTOR liten</t>
  </si>
  <si>
    <t>Dynamisk område</t>
  </si>
  <si>
    <t>Lavkontrastobjekter</t>
  </si>
  <si>
    <t>Høykontrastoppløsning</t>
  </si>
  <si>
    <t>LEVERANDØR</t>
  </si>
  <si>
    <t xml:space="preserve"> </t>
  </si>
  <si>
    <t>Tilkobling måleutstyr:</t>
  </si>
  <si>
    <t>Raysafe X2:</t>
  </si>
  <si>
    <t>Starte X2view fra bane C:\Program Files (x86)\Raysafe\X2View</t>
  </si>
  <si>
    <t>Felt med gul farve kan redigeres</t>
  </si>
  <si>
    <t>Ark med grønn fanefarge fylles i ved kontrollen</t>
  </si>
  <si>
    <t>Øvrige områder i arkene er skrivebeskyttet</t>
  </si>
  <si>
    <t xml:space="preserve">Velg ark "Målinger".  </t>
  </si>
  <si>
    <t>Orange ark er for utskrift og vil automatisk fylles  da ark "Målinger" er utfylt</t>
  </si>
  <si>
    <t>Utskriftarkene innholder gule felter for merknader som kan redigeres i</t>
  </si>
  <si>
    <t xml:space="preserve">Fyll inn data i gule felter i dette ark "Start" </t>
  </si>
  <si>
    <t>Data overføres automatisk til ark målinger ved eksponeringene</t>
  </si>
  <si>
    <t>Ved gjennomføring Bildekvalitet: Velg pasient Testfysiker fra labbens arbeidsliste (må være lagt inn på forhånd med us Bekken)</t>
  </si>
  <si>
    <r>
      <t xml:space="preserve">Eksponer med FF og GF </t>
    </r>
    <r>
      <rPr>
        <b/>
        <sz val="10"/>
        <rFont val="Arial"/>
        <family val="2"/>
      </rPr>
      <t xml:space="preserve">for hver detektor </t>
    </r>
    <r>
      <rPr>
        <sz val="10"/>
        <rFont val="Arial"/>
        <family val="2"/>
      </rPr>
      <t>på labben. Bildene kontrolleres i PACS etter kontrollen.</t>
    </r>
  </si>
  <si>
    <t xml:space="preserve">Etter ark Målinger er ferdig og bilder er kontrollert i PACS:  </t>
  </si>
  <si>
    <t>Noter ev merknader i utskriftarkene</t>
  </si>
  <si>
    <t>Fyll i Resultatområde  i ark U1_Forside</t>
  </si>
  <si>
    <t>Endring av Topp/bunntekst på utskriftarkene</t>
  </si>
  <si>
    <t xml:space="preserve">Merk alle utskriftarkene (gruppere dem med shift knapp).  </t>
  </si>
  <si>
    <t>Velg et av de merkede arkene å velg sideoppsett. Man kan da endre direkte i bunnteksten (øvrige merkede ark endres automatisk)</t>
  </si>
  <si>
    <t>Fyll inn Utført av... og Dato...</t>
  </si>
  <si>
    <t>blir som tenkt,m ellers juster ev marger i sideskiftvisningsmodus</t>
  </si>
  <si>
    <t xml:space="preserve">U9_kV diagrammer: Lim inn 2 diagrammer (FF og GF) fra X2 baseenhet </t>
  </si>
  <si>
    <t>(81 kV, 200 mA 50 ms). Noter eksponeringsnummer for resp eksponering</t>
  </si>
  <si>
    <t>Klikke på et ark utenfor de merkede for å degruppere merkede ark</t>
  </si>
  <si>
    <t>FORKLARINGER:</t>
  </si>
  <si>
    <t>MEDUSA:</t>
  </si>
  <si>
    <t>Ved gjennomføring av Rør- og gen parametre: Velg ark "RaysafeData", koble til X2 (se egen info til ve på siden) og still inn ihht til Machine settings</t>
  </si>
  <si>
    <t>Bruk FPA 100 til markering på X2 R/F sensor . (Stemmer da avst avst til bord= 101 cm)</t>
  </si>
  <si>
    <r>
      <t xml:space="preserve">Bruk 100 FPA uten interne filter, </t>
    </r>
    <r>
      <rPr>
        <sz val="8"/>
        <rFont val="Calibri"/>
        <family val="2"/>
      </rPr>
      <t>~</t>
    </r>
    <r>
      <rPr>
        <sz val="8"/>
        <rFont val="Arial"/>
        <family val="2"/>
      </rPr>
      <t>15*15 felt</t>
    </r>
  </si>
  <si>
    <t>Plasser X2 probe i trådkors</t>
  </si>
  <si>
    <t xml:space="preserve">Koble til Bluetooth USB  til Raysafe baseenhet og Bluetooth USB på pc </t>
  </si>
  <si>
    <t>Åpne X2 View på laptop, velg arbeidsbok og koble til ark RaysafeData i aktuell fil. Start på Rad 7 og kol I</t>
  </si>
  <si>
    <t>R/F probe og X2  tilkoblet ihht prosedyren over</t>
  </si>
  <si>
    <t>AEC bord: Start i Rad 46 og kol I i RaysafeData for 1 mmCu, Rad 65 for 2 mm Cu</t>
  </si>
  <si>
    <t>AEC Vegg Start i Rad 73 og kol I i RaysafeData for 1 mmCu, Rad 92 for 2 mm Cu</t>
  </si>
  <si>
    <t>Plasser X2 R/F probe mellom sidekamre, bruk FFA=110  og fjern raster</t>
  </si>
  <si>
    <t>Hvis noen verdier må endres i gule felt: Høyreklikk på arket og velg "Opphev arkbeskyttelse"</t>
  </si>
  <si>
    <t>Følge settinger i gult felt og eksponer. Relevant del i ark Målinger vil da fylles ut automatisk</t>
  </si>
  <si>
    <t>Eksponer gjennom settingene i gule felt i ark RaysafeData. Relevant del i ark Målinger vil da fylles ut automatisk</t>
  </si>
  <si>
    <t>Monter 1 mm Cu på rør.</t>
  </si>
  <si>
    <t>AEC Prosedyre (Bord eller Vegg)</t>
  </si>
  <si>
    <t>Monter 2 mm Cu på rør og utfør eksponeringer ihht RaysafeData ark</t>
  </si>
  <si>
    <t>Ferdig. Husk fjerne Cu og monter raster.</t>
  </si>
  <si>
    <t>Ferdig. Sjekke i ark Målinger at det er Pass. Ev skriv kommentarer i gule felt.</t>
  </si>
  <si>
    <t>Sjekke i ark Målinger at det er Pass. Ev skriv kommentarer i gule felt.</t>
  </si>
  <si>
    <t>Velg ark Målinger og område Lysfelt/strålefelt</t>
  </si>
  <si>
    <t>Bruk VisiX plate med nom 70 FFA (hvis annet avst noteres dette i eget felt)</t>
  </si>
  <si>
    <t>Still inn på 10*10 felt med GF og utfør 3 eksponeringer med 100 KV og 100 mAs.</t>
  </si>
  <si>
    <t>Mørklegg rommet</t>
  </si>
  <si>
    <t>Fjern oransje plate og les av avvik i mm. Monter plate igjen</t>
  </si>
  <si>
    <t>Still inn på 20*20 felt med FF og utfør 3 eksponeringer med 100 KV og 100 mAs.</t>
  </si>
  <si>
    <t xml:space="preserve">Fjern oransje plate og les av avvik i mm. </t>
  </si>
  <si>
    <t>Sjekk at lysfelt er synlig i fullt lys og at lysfelt er symmerisk rundt trådkors i x-og y retning</t>
  </si>
  <si>
    <t>Ev kommentarer noteres i eget gult felt</t>
  </si>
  <si>
    <t>Velg ark Målinger og område DAP måling</t>
  </si>
  <si>
    <t>Fjern ev interne eller eksterne  filter, bruk~15*15 felt. Plasser rør så det ikke står over ev detektor</t>
  </si>
  <si>
    <t>Plasser DAP måler på rør</t>
  </si>
  <si>
    <t xml:space="preserve">Velg 3 punkts-teknikk med 25 ms og 200 mA (5 mAs) </t>
  </si>
  <si>
    <t>Velg kV og eksponer (utgå fra liste "Nom kV"). Noter brukt kV.</t>
  </si>
  <si>
    <t>Velg ark Målinger og område Bildekvalitet</t>
  </si>
  <si>
    <t>Noter på bilder: Fokus (GF/FF), Detektor, kV og mAs</t>
  </si>
  <si>
    <t>Send bilder til PACS</t>
  </si>
  <si>
    <t>Det utføres 2 testbilder (GF og FF) for alle detektorer på labben med bildekvalitetsfantom Digrad</t>
  </si>
  <si>
    <t>Monter perpendikularitetsobjekt på Digrad</t>
  </si>
  <si>
    <t>Legg inn undersøkelse Bekken på aktuell modalite ti RIS under pasient "Testfysiker" (finnes allerede henvisning her)</t>
  </si>
  <si>
    <t>Velg pasienten fra worklist. Endre innstillinger til 70 kV og 10 mAs og ønsket fokus, FFA 110 med raster ved eksponeringene</t>
  </si>
  <si>
    <t xml:space="preserve">Blende ut og juster Digrad sånn at trådkors følger ytre linjemarkeringer på digrad. Blende inn så felt stemmer med ytre hjørnemarkeringer  </t>
  </si>
  <si>
    <t>Monter 1 mm Cu på rør. Eksponer med FF og GF. Sjekk at ikke feltstørrelsen endrer seg mellom eksponeringene, ev juster på ny</t>
  </si>
  <si>
    <t>Prosedyren repeteres for hver detektor på labben</t>
  </si>
  <si>
    <t>Bilde kontrolleres i PACS med Dicomkalibrert skjerm,</t>
  </si>
  <si>
    <r>
      <t xml:space="preserve">De forskjellige prosedyrene  har blå rubrikker og kan utføres i valgfri ordning. For detaljert beskrivelse av prosedyrerne: Se ark </t>
    </r>
    <r>
      <rPr>
        <b/>
        <sz val="10"/>
        <rFont val="Arial"/>
        <family val="2"/>
      </rPr>
      <t>"Prosedyrer"</t>
    </r>
  </si>
  <si>
    <t>Fremgangsmåte</t>
  </si>
  <si>
    <t>Vegg AEC 1 mmCu, GF, FFA 110, u/raster</t>
  </si>
  <si>
    <t>Innsamlede data foran maimøte 2016 (SiV-OUS-UNN-SUS-HUS)</t>
  </si>
  <si>
    <t>IPEM 2005/BIR2001</t>
  </si>
  <si>
    <t>IEC (International Electrotechnical Commission) (2008) Medical electrical equipment - Part 1-3: General requirements for basic safety and essential performance - Collateral Standard: Radiation protection in diagnostic X-ray equipment. Edition 2.0 IEC 60601-1-3. IEC, Geneva, Switzerland.</t>
  </si>
  <si>
    <t>HVL 81 kV</t>
  </si>
  <si>
    <t>Totalfiltrering mmAl</t>
  </si>
  <si>
    <t>(snitt av målinger ved 70-80 kV,FF+GF)</t>
  </si>
  <si>
    <t>Det er ikke korrigert for svekkelse i bordsplata</t>
  </si>
  <si>
    <t>EI bør noteres ved midtkammer, 73 kV, både 1 og 2 mm Cu filter</t>
  </si>
  <si>
    <t>Plasser rør så det ikke står over ev detektor. Velg FFA 110 og nom 40*40 felt (noter feltstørrelse)</t>
  </si>
  <si>
    <t>Anode(x1)</t>
  </si>
  <si>
    <t>Katode(x2)</t>
  </si>
  <si>
    <t>Over(y1)</t>
  </si>
  <si>
    <t>Under(y2)</t>
  </si>
  <si>
    <t>Maks avvik sum x eller sum y v/stort fokus,mm</t>
  </si>
  <si>
    <t>Maks avvik sum x eller sum y v/lite fokus,mm</t>
  </si>
  <si>
    <t>Sjekk MAX mAs ved AEC, bord, stort fokus</t>
  </si>
  <si>
    <t>Sjekk MAX mAs ved AEC, vegg,  stort fokus</t>
  </si>
  <si>
    <t>Sjekk av riktig kammer valg</t>
  </si>
  <si>
    <t>Ghosting prosedyre. Vi observerer om det er ghosting ifølge denne prosedyren:</t>
  </si>
  <si>
    <t>1)</t>
  </si>
  <si>
    <t>2)</t>
  </si>
  <si>
    <t>etter 1 minutt med blyfrakk på bordet</t>
  </si>
  <si>
    <t>40 kV og 0.4 mAs</t>
  </si>
  <si>
    <t>3)</t>
  </si>
  <si>
    <t>repetisjon etter 2 og 3 minutter</t>
  </si>
  <si>
    <t>Cu-Plassering</t>
  </si>
  <si>
    <t>Aktiv Kammer</t>
  </si>
  <si>
    <t>ms</t>
  </si>
  <si>
    <t>sentrerte med hverandre).</t>
  </si>
  <si>
    <t>VEGG: 1mm Cu på rør, raster på, eventuelt intern filtrering</t>
  </si>
  <si>
    <t>BORD: 1mm Cu på rør, raster på, eventuelt intern filtrering</t>
  </si>
  <si>
    <t>Plasser 1 mm Cu på røret.</t>
  </si>
  <si>
    <t>For å dekke M kammer, kan det skje at filteret må plasseres som den grønne linjen viser i figuren ved siden.</t>
  </si>
  <si>
    <t>Sjekk MAX mAs ifølge RP-162</t>
  </si>
  <si>
    <t>Sjekk av max mAs</t>
  </si>
  <si>
    <t>BORD: 73 kV, 1mm Cu på rør, raster på, eventuelt intern filtrering</t>
  </si>
  <si>
    <t>VEGG: 73 kV, 1mm Cu på rør, raster på, eventuelt intern filtrering</t>
  </si>
  <si>
    <t xml:space="preserve">81 kV, 100 mA, M kammer </t>
  </si>
  <si>
    <t>Sjekk max mAs</t>
  </si>
  <si>
    <t>Sjekk riktig kammer ved AEC</t>
  </si>
  <si>
    <t>Eksponer ved 73 kV og noter mAs og ms.</t>
  </si>
  <si>
    <t>Benytt internt filter om dette brukes ved undersøkelser</t>
  </si>
  <si>
    <t>Ved mottakskontroll, fyll ut sjekk av riktig kammer valg ved siden.</t>
  </si>
  <si>
    <t>mAs er automatisk importert fra Raysafe eller avlest fra maskinen.</t>
  </si>
  <si>
    <t>Bruk 81 kV, 100 mA, M kammer. Flytt røret utenfor bucky. Eksponer.</t>
  </si>
  <si>
    <t xml:space="preserve">Det betyr at M kammer ikke er plassert i midten av trådkors men litt nede (rørhette og detektor ikke perfekt </t>
  </si>
  <si>
    <t>NOTER EI ved 73 kV og M kammer</t>
  </si>
  <si>
    <t>50 kV og 0.5 mAs</t>
  </si>
  <si>
    <t>bly filter på bordet</t>
  </si>
  <si>
    <t>IEC (International Electrotechnical Commission), Medical electrical equipment - Part 2-54: Particular requirements for the basic safety and essential performance of X-ray equipment for radiography and radioscopy. Edition 1.0 IEC 60601-2-54. IEC, Geneva, Switzerland, 2009.</t>
  </si>
  <si>
    <t xml:space="preserve">Lysfelt/strålefelt, sum av avvik i absolutt verdi langs x- og y-retning % av FFA </t>
  </si>
  <si>
    <t>kV nøyaktighet</t>
  </si>
  <si>
    <t>Det kan skje at filter må plasseres på hele kvadranten for å dekke det høyre kammeret.</t>
  </si>
  <si>
    <t>Det samme gjøres på venstre side.</t>
  </si>
  <si>
    <t>Når filteret ikke er plassert som i bildet, kan like verdier av mAs oppstå uansett om H eller V er aktive.</t>
  </si>
  <si>
    <t>Dekk (med 1 mm Cu) og aktiviser et kammer ifølge tabellen ved siden.</t>
  </si>
  <si>
    <t>Toleranse DAP avvik +/-10%</t>
  </si>
  <si>
    <t>(Positivt % avvik indikerer at utstyrets DAP verdi &gt; referanse DAP.)</t>
  </si>
  <si>
    <t xml:space="preserve">Reproduserbarheten i kV er beregnet ved 81 kV både ved fast og variabel mAs (variabel ms og mA). </t>
  </si>
  <si>
    <t>som måles hver for seg og med ulike kammerkombinasjoner. Som pasientfantom benyttes 1 og 2 mm</t>
  </si>
  <si>
    <t>Data fra SSV kalibreringsbevis,VacuDAP Bluetooth kammer s/n 1580014, display s/n 9430006</t>
  </si>
  <si>
    <t xml:space="preserve">Koble X2-enhet til RaySafe viewer vha bluetooth. Det sitter en liten bluetooth-sender på X2-baseenheten, mens det er innebygd bluetooth i laptop. </t>
  </si>
  <si>
    <t>Opplasting av rapporter i Medusa</t>
  </si>
  <si>
    <t>Søk opp anlegget i Medusa</t>
  </si>
  <si>
    <t>Opprett henvendelse</t>
  </si>
  <si>
    <t>Velg kategori "Medisinskteknisk Utstyr (Registrert Utstyr)", ikke akkreditert utstyr</t>
  </si>
  <si>
    <t>Fyll ut de blå feltene, hvite felter trengs ikke å fylles ut</t>
  </si>
  <si>
    <t>"Er utstyret rengjort?" - pleier bare å svare N/A, det er ikke relevant</t>
  </si>
  <si>
    <t>"Emne" - Dato for kontroll og "Rapport fra årlig statuskontroll" (f.eks. 01012001 Rapport fra årlig statuskontroll)</t>
  </si>
  <si>
    <t xml:space="preserve">"Detaljer" - Igjen dato for kontroll og rapport fra årlig statuskontoll, etterfulgt av en kort oppsummering fra kontrollen. Viktig at eventuelle </t>
  </si>
  <si>
    <t xml:space="preserve">feil nevnes i dette feltet. </t>
  </si>
  <si>
    <t>F.eks. "01.01.2001 - Rapport fra årlig statuskontroll. Avvik på lavkontrast på veggdetektor, øvrige målinger innenfor toleranse."</t>
  </si>
  <si>
    <t>Last opp PDF-versjon av rapport i det hvite feletet for vedlagte filer</t>
  </si>
  <si>
    <t>Avslutt med "Lagre/Sende" når alt er fyllt inn og rapporten er lastet inn som vedlegg</t>
  </si>
  <si>
    <t>Connect med aktuelt excel ark (oftest "RaysafeData") og sjekk at X2 starter overføring til riktig celle</t>
  </si>
  <si>
    <t>Bruker fire eksponeringer med 100 kV og 100 mAs per lysfelt</t>
  </si>
  <si>
    <t>Start med det minste lysfeltet (GF 10*10)</t>
  </si>
  <si>
    <t>Evt målinger med internfilter</t>
  </si>
  <si>
    <t>Typisk thorax (0,1 mm cu + 1 mm Al eller 0,1 mm Cu) og bekken (2 mm Al)</t>
  </si>
  <si>
    <t>Bildekvalitet, Homogenitet og Ghosting</t>
  </si>
  <si>
    <r>
      <t xml:space="preserve">Det brukes maks felt og nominellt 5 mAs ved eksponeringene. Avvik DAP skal være &lt; </t>
    </r>
    <r>
      <rPr>
        <sz val="10"/>
        <rFont val="Calibri"/>
        <family val="2"/>
      </rPr>
      <t>±</t>
    </r>
    <r>
      <rPr>
        <sz val="10"/>
        <rFont val="Arial"/>
        <family val="2"/>
      </rPr>
      <t>10%.</t>
    </r>
  </si>
  <si>
    <t>målinger. Eksponeringstidens reproduserbarhet måles ved 81 kV og 10 mAs.</t>
  </si>
  <si>
    <t xml:space="preserve">Funksjon av density ved 1 mm Cu og midtkammer </t>
  </si>
  <si>
    <t>Cu. Måleprobe plasseres på bord/bucky og raster er fjernet.</t>
  </si>
  <si>
    <t>AEC undersøkes ved å måle integrert dose i bildedetektorplanet. Det er i alt 3 målekammer ved bucky</t>
  </si>
  <si>
    <t xml:space="preserve">fjernes Pb og etter 60 sekunder eksponeres det på nytt med samme eksponeringsverdier. </t>
  </si>
  <si>
    <t>Homogenitet vurderes basert på bilder ved begge fokii. Disse tas uten filter og raster, ved 45 kV og 0,5 mAs.</t>
  </si>
  <si>
    <t>Tol: Tomt bilde uten tegn til Pb på 2. eksponering</t>
  </si>
  <si>
    <t>21 mm Al på rør</t>
  </si>
  <si>
    <t>Bildekvalitet:</t>
  </si>
  <si>
    <t>Manuelle verdier: 70 kV og 6,3 mAs</t>
  </si>
  <si>
    <t>Homogenitet:</t>
  </si>
  <si>
    <t>Fantom: Ingen</t>
  </si>
  <si>
    <t>Ingen filter på rør</t>
  </si>
  <si>
    <t>Manuelle verdier: 45 kV og 0,5 mAs</t>
  </si>
  <si>
    <t>Alle de tre bildene sendes til PACS, analyse på diagnostisk skjerm på kontor.</t>
  </si>
  <si>
    <t>Ghosting:</t>
  </si>
  <si>
    <t>Ingen internfilter</t>
  </si>
  <si>
    <t>Fantom:</t>
  </si>
  <si>
    <t>Interne filter:</t>
  </si>
  <si>
    <t>Raster:</t>
  </si>
  <si>
    <t>Fokus:</t>
  </si>
  <si>
    <t>Merk:</t>
  </si>
  <si>
    <t>RG Bekken</t>
  </si>
  <si>
    <t>Digi-Pro med perpendikularitetskjegle</t>
  </si>
  <si>
    <t>110 cm</t>
  </si>
  <si>
    <t>Dersom det er standard på lab</t>
  </si>
  <si>
    <t>Ja, noter dersom det ikke brukes</t>
  </si>
  <si>
    <t>Både GF og FF</t>
  </si>
  <si>
    <t>Blend felt inn til ytre "haker/hjørner" på fantomet. Legg til tekst for hvilken detektor og fokus som brukes i bildet (feks "Vegg GF")</t>
  </si>
  <si>
    <t>Uvesentlig, men f.eks bekken</t>
  </si>
  <si>
    <t>1 mm Pb som legges/tapes midt på detektor</t>
  </si>
  <si>
    <t>Manuelle verdier: 45 kV og 0,5 mAs. Gjelder begge eksponeringer.</t>
  </si>
  <si>
    <t>Trenger bare ett, uvesentlig hvilket</t>
  </si>
  <si>
    <t xml:space="preserve">Testen består av to eksponeringer, en med 1 mm Pb og en uten noe. 1 mm Pb legges/tapes midt på detektor/bucky og man eksponerer. Deretter fjernes Pb. Etter 60 sek eksponeres det på nytt ved samme verdier som ved første. Ved løs detektor: detektoren flyttes unna røret, slik at andre eksponering ikke treffer detektoren og bildet kun viser støy. Test OK dersom det ikke er antydning til "skygge" fra Pb i bilde nr 2. </t>
  </si>
  <si>
    <t>Ha stort nok felt til å dekke hele detektoren. Legg om mulig en penn/noe metall på anodesiden. Ta et bilde med hvert fokus og sett inn tekst for hvilken detektor og fokus det er tatt (feks "Vegg GF"). I tillegg tas et bilde med detektor rotert 180 grader (løs detektor), eller med blende rotert 45 grader. Trenger bare rot. bilde med ett fokus.</t>
  </si>
  <si>
    <t xml:space="preserve">Merk: Disse bildene trenger man ikke å sende til PACS, kan fylles ut på lab. </t>
  </si>
  <si>
    <t xml:space="preserve">Bildene sendes til PACS og bildene analyseres på diagnostisk skjerm på kontor. Fylles i rapport i ettertid. </t>
  </si>
  <si>
    <t>FFA:</t>
  </si>
  <si>
    <t>Eksterne filter:</t>
  </si>
  <si>
    <t>Eksponerings-verdier:</t>
  </si>
  <si>
    <t>Instruksjoner:</t>
  </si>
  <si>
    <t xml:space="preserve">Typisk 70 cm FFA, noter hva som er brukt  </t>
  </si>
  <si>
    <t>Anm: I gule feltet etter detektor skrives detektorID, finnes i DICOM-header</t>
  </si>
  <si>
    <t>Raysafe s/n RF-probe</t>
  </si>
  <si>
    <t>Ghosting OK?</t>
  </si>
  <si>
    <t>Ghosting-test OK?</t>
  </si>
  <si>
    <t>Tol: Bilde er homogent og uten artefakter</t>
  </si>
  <si>
    <t>Det brukes normalt 3-pkt tekinkk med 200 mA, 25 ms. Evt ca 5 mAs og 25 ms (eller så lavt det går)</t>
  </si>
  <si>
    <t>Manuelle  Eksponeringsverdier, 100 FPA u/interne filter</t>
  </si>
  <si>
    <t>Tol: &gt;2,3 lp/mm</t>
  </si>
  <si>
    <t>Oppløsning linjepar/mm (tol&gt;=2,3 lp/mm)</t>
  </si>
  <si>
    <t>N/A</t>
  </si>
  <si>
    <t xml:space="preserve">Målingene ble foretatt med Doseguard DAP-meter, Raysafe X2 RF-probe. </t>
  </si>
  <si>
    <t>DAP-meter Medusa nr:</t>
  </si>
  <si>
    <t>Det ble nyttet Digirad kvalitetsfantom for kontroll av bildekvalitet og PRO-RF</t>
  </si>
  <si>
    <t>Geometry fantom for perpendikluaritetstest.</t>
  </si>
  <si>
    <t>Ved test av bildekvalitet brukes Pro-digi kvalitetsfantom. I tillegg benyttes geometry fantom for</t>
  </si>
  <si>
    <t xml:space="preserve">perpendikulæritetstest. Det benyttes raster, 70kV, 6,3mAs og  FFA=110. Bilder taes med begge fokii. </t>
  </si>
  <si>
    <t>Ghosting undersøkes ved å legge 0,5 mm Pb sentralt på detektor og eksponere ved 45 kV og 0,5 mAs, så</t>
  </si>
  <si>
    <t>2. DAP målinger</t>
  </si>
  <si>
    <t>3.1 kV-Nøyaktighet</t>
  </si>
  <si>
    <t>3.2 kV-Reproduserbarhet</t>
  </si>
  <si>
    <t>3.3 HVL</t>
  </si>
  <si>
    <t>3.4 Eksponeringstid</t>
  </si>
  <si>
    <t>3.5 Stråleutbytte</t>
  </si>
  <si>
    <t>4.1 Bord-AEC, Autom. eksponeringskontroll</t>
  </si>
  <si>
    <t>4.2 Vegg-AEC, Autom. eksponeringskontroll</t>
  </si>
  <si>
    <t>5. Bildekvalitet</t>
  </si>
  <si>
    <t>Måleutstyr</t>
  </si>
  <si>
    <t>Medusanr</t>
  </si>
  <si>
    <t>S/N Baseenhet/RF-probe</t>
  </si>
  <si>
    <t>Kalibreringsdato</t>
  </si>
  <si>
    <t>X2 med kun RF</t>
  </si>
  <si>
    <t>275119 / 285374</t>
  </si>
  <si>
    <t>X2 med alt</t>
  </si>
  <si>
    <t>X2 Survey Sensor</t>
  </si>
  <si>
    <t>275119/263101</t>
  </si>
  <si>
    <t>-</t>
  </si>
  <si>
    <t>DAP uten BT</t>
  </si>
  <si>
    <t>Fysiker</t>
  </si>
  <si>
    <t>kV -nøyaktighet er målt ved fast mAs (nom 50 ms og 200 mA). Maksimalt tillatt avvik ± 5%</t>
  </si>
  <si>
    <t>Reproduserbarhet ved varierende ms (tol&lt; 10%)</t>
  </si>
  <si>
    <t>Reproduserbarhet ved varierende mA (tol&lt; 10%)</t>
  </si>
  <si>
    <t>Eksponeringstidens nøyaktighet måles både ved fast mAs (10 mAs) og variabel mAs. 81 brukes ved</t>
  </si>
  <si>
    <t>Gjennomsnitt stråleutbytte ved fast mA og fast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</si>
</sst>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\ %"/>
    <numFmt numFmtId="165" formatCode="0.000"/>
    <numFmt numFmtId="166" formatCode="0.0"/>
    <numFmt numFmtId="167" formatCode="0.0%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8"/>
      <name val="Arial"/>
      <family val="2"/>
    </font>
    <font>
      <b/>
      <sz val="10"/>
      <color indexed="81"/>
      <name val="Tahoma"/>
      <family val="2"/>
    </font>
    <font>
      <sz val="10"/>
      <color rgb="FFFF000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  <font>
      <sz val="10"/>
      <color theme="3" tint="-0.249977111117893"/>
      <name val="Arial"/>
      <family val="2"/>
    </font>
    <font>
      <sz val="10"/>
      <color rgb="FF00B05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7"/>
      <name val="Arial"/>
      <family val="2"/>
    </font>
    <font>
      <b/>
      <sz val="6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10"/>
      <color theme="6"/>
      <name val="Arial"/>
      <family val="2"/>
    </font>
    <font>
      <sz val="9"/>
      <color theme="6"/>
      <name val="Arial"/>
      <family val="2"/>
    </font>
    <font>
      <b/>
      <sz val="10"/>
      <color theme="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6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18" fillId="21" borderId="2" applyNumberFormat="0" applyAlignment="0" applyProtection="0"/>
    <xf numFmtId="0" fontId="25" fillId="0" borderId="6" applyNumberFormat="0" applyFill="0" applyAlignment="0" applyProtection="0"/>
    <xf numFmtId="0" fontId="9" fillId="22" borderId="7" applyNumberFormat="0" applyFont="0" applyAlignment="0" applyProtection="0"/>
    <xf numFmtId="0" fontId="26" fillId="23" borderId="0" applyNumberFormat="0" applyBorder="0" applyAlignment="0" applyProtection="0"/>
    <xf numFmtId="0" fontId="12" fillId="0" borderId="0"/>
    <xf numFmtId="0" fontId="9" fillId="22" borderId="7" applyNumberFormat="0" applyFont="0" applyAlignment="0" applyProtection="0"/>
    <xf numFmtId="0" fontId="26" fillId="23" borderId="0" applyNumberFormat="0" applyBorder="0" applyAlignment="0" applyProtection="0"/>
    <xf numFmtId="0" fontId="27" fillId="20" borderId="8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7" fillId="20" borderId="8" applyNumberForma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44" fillId="26" borderId="51" applyNumberFormat="0" applyAlignment="0" applyProtection="0"/>
    <xf numFmtId="0" fontId="7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2">
    <xf numFmtId="0" fontId="0" fillId="0" borderId="0" xfId="0"/>
    <xf numFmtId="0" fontId="12" fillId="0" borderId="0" xfId="0" applyFont="1"/>
    <xf numFmtId="0" fontId="36" fillId="0" borderId="0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2" fillId="0" borderId="0" xfId="0" applyFont="1"/>
    <xf numFmtId="9" fontId="36" fillId="0" borderId="0" xfId="0" applyNumberFormat="1" applyFont="1" applyBorder="1" applyAlignment="1">
      <alignment horizontal="center"/>
    </xf>
    <xf numFmtId="0" fontId="32" fillId="0" borderId="0" xfId="0" applyFont="1" applyBorder="1"/>
    <xf numFmtId="0" fontId="32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0" applyFont="1" applyAlignment="1"/>
    <xf numFmtId="9" fontId="36" fillId="0" borderId="0" xfId="0" applyNumberFormat="1" applyFont="1" applyAlignment="1">
      <alignment horizontal="center"/>
    </xf>
    <xf numFmtId="0" fontId="41" fillId="0" borderId="0" xfId="0" applyFont="1"/>
    <xf numFmtId="0" fontId="43" fillId="0" borderId="22" xfId="86" applyFont="1" applyBorder="1" applyAlignment="1" applyProtection="1">
      <alignment horizontal="left"/>
    </xf>
    <xf numFmtId="0" fontId="7" fillId="0" borderId="16" xfId="86" applyBorder="1" applyAlignment="1" applyProtection="1">
      <alignment horizontal="center"/>
    </xf>
    <xf numFmtId="0" fontId="7" fillId="0" borderId="23" xfId="86" applyBorder="1" applyAlignment="1" applyProtection="1">
      <alignment horizontal="center"/>
    </xf>
    <xf numFmtId="0" fontId="7" fillId="0" borderId="0" xfId="86" applyBorder="1" applyAlignment="1" applyProtection="1">
      <alignment horizontal="center"/>
    </xf>
    <xf numFmtId="0" fontId="7" fillId="0" borderId="0" xfId="86" applyAlignment="1" applyProtection="1">
      <alignment horizontal="center"/>
    </xf>
    <xf numFmtId="0" fontId="48" fillId="0" borderId="27" xfId="86" applyFont="1" applyBorder="1" applyAlignment="1" applyProtection="1">
      <alignment horizontal="left"/>
    </xf>
    <xf numFmtId="0" fontId="48" fillId="0" borderId="28" xfId="86" applyFont="1" applyBorder="1" applyAlignment="1" applyProtection="1">
      <alignment horizontal="center"/>
    </xf>
    <xf numFmtId="0" fontId="49" fillId="0" borderId="0" xfId="86" applyFont="1" applyAlignment="1" applyProtection="1">
      <alignment horizontal="left"/>
    </xf>
    <xf numFmtId="0" fontId="49" fillId="0" borderId="0" xfId="86" applyFont="1" applyAlignment="1" applyProtection="1">
      <alignment horizontal="center"/>
    </xf>
    <xf numFmtId="0" fontId="7" fillId="0" borderId="34" xfId="86" applyBorder="1" applyAlignment="1" applyProtection="1">
      <alignment horizontal="center"/>
    </xf>
    <xf numFmtId="0" fontId="7" fillId="0" borderId="15" xfId="86" applyBorder="1" applyAlignment="1" applyProtection="1">
      <alignment horizontal="center"/>
    </xf>
    <xf numFmtId="0" fontId="7" fillId="0" borderId="38" xfId="86" applyBorder="1" applyAlignment="1" applyProtection="1">
      <alignment horizontal="center"/>
    </xf>
    <xf numFmtId="0" fontId="42" fillId="0" borderId="24" xfId="86" applyFont="1" applyBorder="1" applyAlignment="1" applyProtection="1">
      <alignment horizontal="center"/>
    </xf>
    <xf numFmtId="0" fontId="42" fillId="0" borderId="12" xfId="86" applyFont="1" applyBorder="1" applyAlignment="1" applyProtection="1">
      <alignment horizontal="center"/>
    </xf>
    <xf numFmtId="0" fontId="42" fillId="28" borderId="12" xfId="86" applyFont="1" applyFill="1" applyBorder="1" applyAlignment="1" applyProtection="1">
      <alignment horizontal="center"/>
    </xf>
    <xf numFmtId="0" fontId="7" fillId="0" borderId="25" xfId="86" applyBorder="1" applyAlignment="1" applyProtection="1">
      <alignment horizontal="center"/>
    </xf>
    <xf numFmtId="0" fontId="7" fillId="0" borderId="24" xfId="86" applyBorder="1" applyAlignment="1" applyProtection="1">
      <alignment horizontal="center"/>
    </xf>
    <xf numFmtId="0" fontId="7" fillId="0" borderId="12" xfId="86" applyBorder="1" applyAlignment="1" applyProtection="1">
      <alignment horizontal="center"/>
    </xf>
    <xf numFmtId="0" fontId="7" fillId="29" borderId="25" xfId="86" applyFill="1" applyBorder="1" applyAlignment="1" applyProtection="1">
      <alignment horizontal="center"/>
    </xf>
    <xf numFmtId="0" fontId="7" fillId="0" borderId="27" xfId="86" applyBorder="1" applyAlignment="1" applyProtection="1">
      <alignment horizontal="center"/>
    </xf>
    <xf numFmtId="0" fontId="7" fillId="0" borderId="28" xfId="86" applyBorder="1" applyAlignment="1" applyProtection="1">
      <alignment horizontal="center"/>
    </xf>
    <xf numFmtId="0" fontId="7" fillId="29" borderId="29" xfId="86" applyFill="1" applyBorder="1" applyAlignment="1" applyProtection="1">
      <alignment horizontal="center"/>
    </xf>
    <xf numFmtId="0" fontId="48" fillId="0" borderId="0" xfId="86" applyFont="1" applyAlignment="1" applyProtection="1">
      <alignment horizontal="left"/>
    </xf>
    <xf numFmtId="0" fontId="48" fillId="0" borderId="22" xfId="86" applyFont="1" applyBorder="1" applyAlignment="1" applyProtection="1">
      <alignment horizontal="center"/>
    </xf>
    <xf numFmtId="0" fontId="49" fillId="0" borderId="23" xfId="86" applyFont="1" applyBorder="1" applyAlignment="1" applyProtection="1">
      <alignment horizontal="center"/>
    </xf>
    <xf numFmtId="0" fontId="42" fillId="0" borderId="0" xfId="86" applyFont="1" applyAlignment="1" applyProtection="1">
      <alignment horizontal="center"/>
    </xf>
    <xf numFmtId="0" fontId="42" fillId="0" borderId="0" xfId="86" applyFont="1" applyBorder="1" applyAlignment="1" applyProtection="1">
      <alignment horizontal="center"/>
    </xf>
    <xf numFmtId="2" fontId="7" fillId="29" borderId="25" xfId="86" applyNumberFormat="1" applyFill="1" applyBorder="1" applyAlignment="1" applyProtection="1">
      <alignment horizontal="center"/>
    </xf>
    <xf numFmtId="0" fontId="7" fillId="0" borderId="43" xfId="86" applyBorder="1" applyAlignment="1" applyProtection="1">
      <alignment horizontal="left"/>
    </xf>
    <xf numFmtId="0" fontId="7" fillId="0" borderId="44" xfId="86" applyBorder="1" applyAlignment="1" applyProtection="1">
      <alignment horizontal="center"/>
    </xf>
    <xf numFmtId="0" fontId="7" fillId="0" borderId="45" xfId="86" applyBorder="1" applyAlignment="1" applyProtection="1">
      <alignment horizontal="center"/>
    </xf>
    <xf numFmtId="0" fontId="7" fillId="0" borderId="17" xfId="86" applyBorder="1" applyAlignment="1" applyProtection="1">
      <alignment horizontal="center"/>
    </xf>
    <xf numFmtId="0" fontId="7" fillId="0" borderId="21" xfId="86" applyBorder="1" applyAlignment="1" applyProtection="1">
      <alignment horizontal="center"/>
    </xf>
    <xf numFmtId="0" fontId="7" fillId="0" borderId="32" xfId="86" applyBorder="1" applyAlignment="1" applyProtection="1">
      <alignment horizontal="center"/>
    </xf>
    <xf numFmtId="0" fontId="7" fillId="0" borderId="10" xfId="86" applyBorder="1" applyAlignment="1" applyProtection="1">
      <alignment horizontal="center"/>
    </xf>
    <xf numFmtId="0" fontId="7" fillId="0" borderId="37" xfId="86" applyBorder="1" applyAlignment="1" applyProtection="1">
      <alignment horizontal="center"/>
    </xf>
    <xf numFmtId="0" fontId="1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9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0" xfId="0" applyFont="1"/>
    <xf numFmtId="0" fontId="59" fillId="0" borderId="0" xfId="0" applyFont="1"/>
    <xf numFmtId="0" fontId="13" fillId="32" borderId="0" xfId="0" applyFont="1" applyFill="1" applyProtection="1"/>
    <xf numFmtId="0" fontId="13" fillId="32" borderId="0" xfId="0" applyFont="1" applyFill="1" applyBorder="1" applyAlignment="1" applyProtection="1">
      <alignment horizontal="left"/>
    </xf>
    <xf numFmtId="0" fontId="32" fillId="32" borderId="0" xfId="0" applyFont="1" applyFill="1" applyProtection="1"/>
    <xf numFmtId="0" fontId="13" fillId="32" borderId="0" xfId="0" applyFont="1" applyFill="1" applyBorder="1" applyProtection="1"/>
    <xf numFmtId="0" fontId="13" fillId="32" borderId="0" xfId="0" applyFont="1" applyFill="1" applyAlignment="1" applyProtection="1">
      <alignment horizontal="right"/>
    </xf>
    <xf numFmtId="9" fontId="13" fillId="31" borderId="0" xfId="0" applyNumberFormat="1" applyFont="1" applyFill="1" applyAlignment="1" applyProtection="1">
      <alignment horizontal="center"/>
    </xf>
    <xf numFmtId="2" fontId="13" fillId="31" borderId="0" xfId="0" applyNumberFormat="1" applyFont="1" applyFill="1" applyAlignment="1" applyProtection="1">
      <alignment horizontal="center"/>
    </xf>
    <xf numFmtId="0" fontId="56" fillId="0" borderId="0" xfId="0" applyFont="1" applyAlignment="1" applyProtection="1">
      <alignment horizontal="left" vertical="center" readingOrder="1"/>
    </xf>
    <xf numFmtId="0" fontId="13" fillId="32" borderId="0" xfId="0" applyFont="1" applyFill="1" applyAlignment="1" applyProtection="1">
      <alignment horizontal="center"/>
    </xf>
    <xf numFmtId="0" fontId="13" fillId="32" borderId="31" xfId="0" applyFont="1" applyFill="1" applyBorder="1" applyAlignment="1" applyProtection="1">
      <alignment horizontal="center"/>
    </xf>
    <xf numFmtId="0" fontId="13" fillId="32" borderId="48" xfId="0" applyFont="1" applyFill="1" applyBorder="1" applyAlignment="1" applyProtection="1">
      <alignment horizontal="right"/>
    </xf>
    <xf numFmtId="9" fontId="13" fillId="31" borderId="54" xfId="0" applyNumberFormat="1" applyFont="1" applyFill="1" applyBorder="1" applyAlignment="1" applyProtection="1">
      <alignment horizontal="center"/>
    </xf>
    <xf numFmtId="0" fontId="13" fillId="32" borderId="54" xfId="0" applyFont="1" applyFill="1" applyBorder="1" applyAlignment="1" applyProtection="1">
      <alignment horizontal="center"/>
    </xf>
    <xf numFmtId="0" fontId="13" fillId="32" borderId="55" xfId="0" applyFont="1" applyFill="1" applyBorder="1" applyAlignment="1" applyProtection="1">
      <alignment horizontal="center"/>
    </xf>
    <xf numFmtId="0" fontId="13" fillId="32" borderId="12" xfId="0" applyFont="1" applyFill="1" applyBorder="1" applyAlignment="1" applyProtection="1">
      <alignment horizontal="center"/>
    </xf>
    <xf numFmtId="1" fontId="13" fillId="32" borderId="12" xfId="0" applyNumberFormat="1" applyFont="1" applyFill="1" applyBorder="1" applyAlignment="1" applyProtection="1">
      <alignment horizontal="center"/>
    </xf>
    <xf numFmtId="166" fontId="13" fillId="32" borderId="12" xfId="0" applyNumberFormat="1" applyFont="1" applyFill="1" applyBorder="1" applyAlignment="1" applyProtection="1">
      <alignment horizontal="center"/>
    </xf>
    <xf numFmtId="0" fontId="13" fillId="32" borderId="11" xfId="0" applyFont="1" applyFill="1" applyBorder="1" applyAlignment="1" applyProtection="1">
      <alignment horizontal="center"/>
    </xf>
    <xf numFmtId="10" fontId="13" fillId="32" borderId="12" xfId="0" applyNumberFormat="1" applyFont="1" applyFill="1" applyBorder="1" applyAlignment="1" applyProtection="1">
      <alignment horizontal="center"/>
    </xf>
    <xf numFmtId="0" fontId="13" fillId="32" borderId="11" xfId="0" applyFont="1" applyFill="1" applyBorder="1" applyProtection="1"/>
    <xf numFmtId="0" fontId="13" fillId="32" borderId="49" xfId="0" applyFont="1" applyFill="1" applyBorder="1" applyAlignment="1" applyProtection="1">
      <alignment horizontal="center"/>
    </xf>
    <xf numFmtId="0" fontId="13" fillId="32" borderId="56" xfId="0" applyFont="1" applyFill="1" applyBorder="1" applyProtection="1"/>
    <xf numFmtId="2" fontId="13" fillId="32" borderId="0" xfId="0" applyNumberFormat="1" applyFont="1" applyFill="1" applyProtection="1"/>
    <xf numFmtId="0" fontId="13" fillId="32" borderId="48" xfId="0" applyFont="1" applyFill="1" applyBorder="1" applyAlignment="1" applyProtection="1">
      <alignment horizontal="center"/>
    </xf>
    <xf numFmtId="2" fontId="13" fillId="32" borderId="12" xfId="0" applyNumberFormat="1" applyFont="1" applyFill="1" applyBorder="1" applyAlignment="1" applyProtection="1">
      <alignment horizontal="center"/>
    </xf>
    <xf numFmtId="2" fontId="13" fillId="32" borderId="0" xfId="0" applyNumberFormat="1" applyFont="1" applyFill="1" applyBorder="1" applyAlignment="1" applyProtection="1">
      <alignment horizontal="center"/>
    </xf>
    <xf numFmtId="2" fontId="13" fillId="32" borderId="56" xfId="0" applyNumberFormat="1" applyFont="1" applyFill="1" applyBorder="1" applyAlignment="1" applyProtection="1">
      <alignment horizontal="center"/>
    </xf>
    <xf numFmtId="0" fontId="13" fillId="32" borderId="56" xfId="0" applyFont="1" applyFill="1" applyBorder="1" applyAlignment="1" applyProtection="1">
      <alignment horizontal="center"/>
    </xf>
    <xf numFmtId="165" fontId="13" fillId="32" borderId="56" xfId="0" applyNumberFormat="1" applyFont="1" applyFill="1" applyBorder="1" applyAlignment="1" applyProtection="1">
      <alignment horizontal="center"/>
    </xf>
    <xf numFmtId="0" fontId="13" fillId="32" borderId="49" xfId="0" applyFont="1" applyFill="1" applyBorder="1" applyProtection="1"/>
    <xf numFmtId="166" fontId="13" fillId="32" borderId="0" xfId="0" applyNumberFormat="1" applyFont="1" applyFill="1" applyBorder="1" applyAlignment="1" applyProtection="1">
      <alignment horizontal="center"/>
    </xf>
    <xf numFmtId="166" fontId="13" fillId="32" borderId="56" xfId="0" applyNumberFormat="1" applyFont="1" applyFill="1" applyBorder="1" applyAlignment="1" applyProtection="1">
      <alignment horizontal="center"/>
    </xf>
    <xf numFmtId="0" fontId="13" fillId="32" borderId="50" xfId="0" applyFont="1" applyFill="1" applyBorder="1" applyAlignment="1" applyProtection="1">
      <alignment horizontal="center"/>
    </xf>
    <xf numFmtId="0" fontId="32" fillId="24" borderId="31" xfId="0" applyFont="1" applyFill="1" applyBorder="1" applyAlignment="1" applyProtection="1">
      <alignment horizontal="center"/>
    </xf>
    <xf numFmtId="0" fontId="41" fillId="32" borderId="0" xfId="0" applyFont="1" applyFill="1" applyBorder="1" applyProtection="1"/>
    <xf numFmtId="0" fontId="13" fillId="32" borderId="50" xfId="0" applyFont="1" applyFill="1" applyBorder="1" applyProtection="1"/>
    <xf numFmtId="0" fontId="13" fillId="32" borderId="31" xfId="0" applyFont="1" applyFill="1" applyBorder="1" applyProtection="1"/>
    <xf numFmtId="0" fontId="13" fillId="32" borderId="46" xfId="0" applyFont="1" applyFill="1" applyBorder="1" applyProtection="1"/>
    <xf numFmtId="0" fontId="41" fillId="32" borderId="0" xfId="0" applyFont="1" applyFill="1" applyProtection="1"/>
    <xf numFmtId="0" fontId="13" fillId="0" borderId="0" xfId="0" applyFont="1" applyFill="1" applyProtection="1"/>
    <xf numFmtId="1" fontId="13" fillId="32" borderId="28" xfId="0" applyNumberFormat="1" applyFont="1" applyFill="1" applyBorder="1" applyAlignment="1" applyProtection="1">
      <alignment horizontal="center"/>
    </xf>
    <xf numFmtId="166" fontId="13" fillId="32" borderId="28" xfId="0" applyNumberFormat="1" applyFont="1" applyFill="1" applyBorder="1" applyAlignment="1" applyProtection="1">
      <alignment horizontal="center"/>
    </xf>
    <xf numFmtId="0" fontId="13" fillId="32" borderId="10" xfId="0" applyFont="1" applyFill="1" applyBorder="1" applyAlignment="1" applyProtection="1">
      <alignment horizontal="center"/>
    </xf>
    <xf numFmtId="10" fontId="13" fillId="32" borderId="28" xfId="0" applyNumberFormat="1" applyFont="1" applyFill="1" applyBorder="1" applyAlignment="1" applyProtection="1">
      <alignment horizontal="center"/>
    </xf>
    <xf numFmtId="0" fontId="13" fillId="32" borderId="10" xfId="0" applyFont="1" applyFill="1" applyBorder="1" applyProtection="1"/>
    <xf numFmtId="2" fontId="13" fillId="32" borderId="28" xfId="0" applyNumberFormat="1" applyFont="1" applyFill="1" applyBorder="1" applyAlignment="1" applyProtection="1">
      <alignment horizontal="center"/>
    </xf>
    <xf numFmtId="2" fontId="13" fillId="32" borderId="10" xfId="0" applyNumberFormat="1" applyFont="1" applyFill="1" applyBorder="1" applyAlignment="1" applyProtection="1">
      <alignment horizontal="center"/>
    </xf>
    <xf numFmtId="1" fontId="13" fillId="32" borderId="0" xfId="0" applyNumberFormat="1" applyFont="1" applyFill="1" applyBorder="1" applyAlignment="1" applyProtection="1">
      <alignment horizontal="center"/>
    </xf>
    <xf numFmtId="1" fontId="41" fillId="32" borderId="0" xfId="0" applyNumberFormat="1" applyFont="1" applyFill="1" applyBorder="1" applyAlignment="1" applyProtection="1">
      <alignment horizontal="center"/>
    </xf>
    <xf numFmtId="0" fontId="41" fillId="32" borderId="0" xfId="0" applyFont="1" applyFill="1" applyBorder="1" applyAlignment="1" applyProtection="1">
      <alignment horizontal="center"/>
    </xf>
    <xf numFmtId="0" fontId="32" fillId="32" borderId="0" xfId="0" applyFont="1" applyFill="1" applyAlignment="1" applyProtection="1">
      <alignment horizontal="right"/>
    </xf>
    <xf numFmtId="165" fontId="13" fillId="32" borderId="54" xfId="0" applyNumberFormat="1" applyFont="1" applyFill="1" applyBorder="1" applyAlignment="1" applyProtection="1">
      <alignment horizontal="center"/>
    </xf>
    <xf numFmtId="0" fontId="13" fillId="32" borderId="54" xfId="0" applyFont="1" applyFill="1" applyBorder="1" applyProtection="1"/>
    <xf numFmtId="0" fontId="41" fillId="32" borderId="55" xfId="0" applyFont="1" applyFill="1" applyBorder="1" applyProtection="1"/>
    <xf numFmtId="165" fontId="13" fillId="32" borderId="0" xfId="0" applyNumberFormat="1" applyFont="1" applyFill="1" applyBorder="1" applyAlignment="1" applyProtection="1">
      <alignment horizontal="center"/>
    </xf>
    <xf numFmtId="0" fontId="41" fillId="32" borderId="56" xfId="0" applyFont="1" applyFill="1" applyBorder="1" applyProtection="1"/>
    <xf numFmtId="166" fontId="13" fillId="31" borderId="0" xfId="0" applyNumberFormat="1" applyFont="1" applyFill="1" applyBorder="1" applyAlignment="1" applyProtection="1">
      <alignment horizontal="center"/>
    </xf>
    <xf numFmtId="164" fontId="13" fillId="31" borderId="0" xfId="0" applyNumberFormat="1" applyFont="1" applyFill="1" applyBorder="1" applyAlignment="1" applyProtection="1">
      <alignment horizontal="center"/>
    </xf>
    <xf numFmtId="164" fontId="13" fillId="24" borderId="0" xfId="0" applyNumberFormat="1" applyFont="1" applyFill="1" applyBorder="1" applyAlignment="1" applyProtection="1">
      <alignment horizontal="center"/>
    </xf>
    <xf numFmtId="9" fontId="13" fillId="31" borderId="56" xfId="0" applyNumberFormat="1" applyFont="1" applyFill="1" applyBorder="1" applyAlignment="1" applyProtection="1">
      <alignment horizontal="left"/>
    </xf>
    <xf numFmtId="9" fontId="13" fillId="0" borderId="46" xfId="0" applyNumberFormat="1" applyFont="1" applyFill="1" applyBorder="1" applyAlignment="1" applyProtection="1">
      <alignment horizontal="left"/>
    </xf>
    <xf numFmtId="9" fontId="13" fillId="31" borderId="56" xfId="0" applyNumberFormat="1" applyFont="1" applyFill="1" applyBorder="1" applyAlignment="1" applyProtection="1">
      <alignment horizontal="center"/>
    </xf>
    <xf numFmtId="0" fontId="32" fillId="31" borderId="31" xfId="0" applyFont="1" applyFill="1" applyBorder="1" applyAlignment="1" applyProtection="1">
      <alignment horizontal="center"/>
    </xf>
    <xf numFmtId="0" fontId="41" fillId="32" borderId="54" xfId="0" applyFont="1" applyFill="1" applyBorder="1" applyProtection="1"/>
    <xf numFmtId="167" fontId="13" fillId="24" borderId="0" xfId="0" applyNumberFormat="1" applyFont="1" applyFill="1" applyBorder="1" applyAlignment="1" applyProtection="1">
      <alignment horizontal="center"/>
    </xf>
    <xf numFmtId="10" fontId="41" fillId="32" borderId="56" xfId="0" applyNumberFormat="1" applyFont="1" applyFill="1" applyBorder="1" applyProtection="1"/>
    <xf numFmtId="167" fontId="13" fillId="24" borderId="31" xfId="0" applyNumberFormat="1" applyFont="1" applyFill="1" applyBorder="1" applyAlignment="1" applyProtection="1">
      <alignment horizontal="center"/>
    </xf>
    <xf numFmtId="0" fontId="41" fillId="32" borderId="31" xfId="0" applyFont="1" applyFill="1" applyBorder="1" applyProtection="1"/>
    <xf numFmtId="10" fontId="41" fillId="32" borderId="46" xfId="0" applyNumberFormat="1" applyFont="1" applyFill="1" applyBorder="1" applyProtection="1"/>
    <xf numFmtId="167" fontId="41" fillId="28" borderId="0" xfId="0" applyNumberFormat="1" applyFont="1" applyFill="1" applyAlignment="1" applyProtection="1">
      <alignment horizontal="center"/>
    </xf>
    <xf numFmtId="0" fontId="13" fillId="32" borderId="48" xfId="0" applyFont="1" applyFill="1" applyBorder="1" applyProtection="1"/>
    <xf numFmtId="166" fontId="13" fillId="28" borderId="54" xfId="0" applyNumberFormat="1" applyFont="1" applyFill="1" applyBorder="1" applyAlignment="1" applyProtection="1">
      <alignment horizontal="center"/>
    </xf>
    <xf numFmtId="0" fontId="13" fillId="32" borderId="55" xfId="0" applyFont="1" applyFill="1" applyBorder="1" applyProtection="1"/>
    <xf numFmtId="167" fontId="13" fillId="31" borderId="0" xfId="0" applyNumberFormat="1" applyFont="1" applyFill="1" applyBorder="1" applyAlignment="1" applyProtection="1">
      <alignment horizontal="center"/>
    </xf>
    <xf numFmtId="9" fontId="13" fillId="32" borderId="56" xfId="0" applyNumberFormat="1" applyFont="1" applyFill="1" applyBorder="1" applyAlignment="1" applyProtection="1">
      <alignment horizontal="left"/>
    </xf>
    <xf numFmtId="0" fontId="41" fillId="32" borderId="50" xfId="0" applyFont="1" applyFill="1" applyBorder="1" applyProtection="1"/>
    <xf numFmtId="0" fontId="41" fillId="32" borderId="10" xfId="0" applyFont="1" applyFill="1" applyBorder="1" applyAlignment="1" applyProtection="1">
      <alignment horizontal="center"/>
    </xf>
    <xf numFmtId="0" fontId="41" fillId="32" borderId="10" xfId="0" applyFont="1" applyFill="1" applyBorder="1" applyProtection="1"/>
    <xf numFmtId="0" fontId="32" fillId="32" borderId="48" xfId="0" applyFont="1" applyFill="1" applyBorder="1" applyProtection="1"/>
    <xf numFmtId="0" fontId="32" fillId="32" borderId="54" xfId="0" applyFont="1" applyFill="1" applyBorder="1" applyProtection="1"/>
    <xf numFmtId="0" fontId="32" fillId="32" borderId="54" xfId="0" applyFont="1" applyFill="1" applyBorder="1" applyAlignment="1" applyProtection="1">
      <alignment horizontal="right"/>
    </xf>
    <xf numFmtId="0" fontId="13" fillId="31" borderId="0" xfId="0" applyFont="1" applyFill="1" applyBorder="1" applyAlignment="1" applyProtection="1">
      <alignment horizontal="center"/>
    </xf>
    <xf numFmtId="167" fontId="41" fillId="28" borderId="0" xfId="0" applyNumberFormat="1" applyFont="1" applyFill="1" applyBorder="1" applyAlignment="1" applyProtection="1">
      <alignment horizontal="center"/>
    </xf>
    <xf numFmtId="167" fontId="41" fillId="28" borderId="54" xfId="0" applyNumberFormat="1" applyFont="1" applyFill="1" applyBorder="1" applyAlignment="1" applyProtection="1">
      <alignment horizontal="center"/>
    </xf>
    <xf numFmtId="1" fontId="13" fillId="32" borderId="10" xfId="0" applyNumberFormat="1" applyFont="1" applyFill="1" applyBorder="1" applyAlignment="1" applyProtection="1">
      <alignment horizontal="center"/>
    </xf>
    <xf numFmtId="1" fontId="9" fillId="32" borderId="0" xfId="0" applyNumberFormat="1" applyFont="1" applyFill="1" applyBorder="1" applyAlignment="1" applyProtection="1">
      <alignment horizontal="left"/>
    </xf>
    <xf numFmtId="1" fontId="32" fillId="31" borderId="12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 applyProtection="1">
      <alignment horizontal="center"/>
    </xf>
    <xf numFmtId="1" fontId="13" fillId="32" borderId="0" xfId="0" applyNumberFormat="1" applyFont="1" applyFill="1" applyBorder="1" applyAlignment="1" applyProtection="1">
      <alignment horizontal="left"/>
    </xf>
    <xf numFmtId="1" fontId="13" fillId="32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>
      <alignment horizontal="center"/>
    </xf>
    <xf numFmtId="1" fontId="13" fillId="32" borderId="54" xfId="0" applyNumberFormat="1" applyFont="1" applyFill="1" applyBorder="1" applyAlignment="1" applyProtection="1">
      <alignment horizontal="center"/>
    </xf>
    <xf numFmtId="166" fontId="13" fillId="31" borderId="12" xfId="0" applyNumberFormat="1" applyFont="1" applyFill="1" applyBorder="1" applyAlignment="1" applyProtection="1">
      <alignment horizontal="center"/>
    </xf>
    <xf numFmtId="9" fontId="13" fillId="32" borderId="54" xfId="0" applyNumberFormat="1" applyFont="1" applyFill="1" applyBorder="1" applyAlignment="1" applyProtection="1">
      <alignment horizontal="center"/>
    </xf>
    <xf numFmtId="9" fontId="13" fillId="32" borderId="0" xfId="0" applyNumberFormat="1" applyFont="1" applyFill="1" applyBorder="1" applyAlignment="1" applyProtection="1">
      <alignment horizontal="center"/>
    </xf>
    <xf numFmtId="0" fontId="13" fillId="32" borderId="57" xfId="0" applyFont="1" applyFill="1" applyBorder="1" applyProtection="1"/>
    <xf numFmtId="1" fontId="32" fillId="31" borderId="28" xfId="0" applyNumberFormat="1" applyFont="1" applyFill="1" applyBorder="1" applyAlignment="1" applyProtection="1">
      <alignment horizontal="center"/>
    </xf>
    <xf numFmtId="166" fontId="13" fillId="32" borderId="10" xfId="0" applyNumberFormat="1" applyFont="1" applyFill="1" applyBorder="1" applyAlignment="1" applyProtection="1">
      <alignment horizontal="center"/>
    </xf>
    <xf numFmtId="0" fontId="41" fillId="32" borderId="47" xfId="0" applyFont="1" applyFill="1" applyBorder="1" applyProtection="1"/>
    <xf numFmtId="1" fontId="32" fillId="28" borderId="10" xfId="0" applyNumberFormat="1" applyFont="1" applyFill="1" applyBorder="1" applyAlignment="1" applyProtection="1">
      <alignment horizontal="center"/>
    </xf>
    <xf numFmtId="0" fontId="0" fillId="32" borderId="0" xfId="0" applyFill="1" applyAlignment="1" applyProtection="1">
      <alignment horizontal="center"/>
    </xf>
    <xf numFmtId="0" fontId="0" fillId="32" borderId="0" xfId="0" applyFill="1" applyProtection="1"/>
    <xf numFmtId="0" fontId="9" fillId="32" borderId="0" xfId="0" applyFont="1" applyFill="1" applyProtection="1"/>
    <xf numFmtId="0" fontId="40" fillId="32" borderId="0" xfId="0" applyFont="1" applyFill="1" applyAlignment="1" applyProtection="1">
      <alignment horizontal="center"/>
    </xf>
    <xf numFmtId="0" fontId="13" fillId="28" borderId="0" xfId="0" applyFont="1" applyFill="1" applyBorder="1" applyAlignment="1" applyProtection="1">
      <alignment horizontal="center"/>
    </xf>
    <xf numFmtId="165" fontId="13" fillId="28" borderId="0" xfId="0" applyNumberFormat="1" applyFont="1" applyFill="1" applyBorder="1" applyAlignment="1" applyProtection="1">
      <alignment horizontal="center"/>
    </xf>
    <xf numFmtId="164" fontId="13" fillId="32" borderId="0" xfId="0" applyNumberFormat="1" applyFont="1" applyFill="1" applyBorder="1" applyAlignment="1" applyProtection="1">
      <alignment horizontal="center"/>
    </xf>
    <xf numFmtId="0" fontId="40" fillId="32" borderId="0" xfId="0" applyFont="1" applyFill="1" applyBorder="1" applyAlignment="1" applyProtection="1">
      <alignment horizontal="center"/>
    </xf>
    <xf numFmtId="166" fontId="40" fillId="32" borderId="0" xfId="0" applyNumberFormat="1" applyFont="1" applyFill="1" applyBorder="1" applyAlignment="1" applyProtection="1">
      <alignment horizontal="center"/>
    </xf>
    <xf numFmtId="0" fontId="13" fillId="28" borderId="10" xfId="0" applyFont="1" applyFill="1" applyBorder="1" applyAlignment="1" applyProtection="1">
      <alignment horizontal="center"/>
    </xf>
    <xf numFmtId="165" fontId="13" fillId="28" borderId="10" xfId="0" applyNumberFormat="1" applyFont="1" applyFill="1" applyBorder="1" applyAlignment="1" applyProtection="1">
      <alignment horizontal="center"/>
    </xf>
    <xf numFmtId="164" fontId="13" fillId="32" borderId="10" xfId="0" applyNumberFormat="1" applyFont="1" applyFill="1" applyBorder="1" applyAlignment="1" applyProtection="1">
      <alignment horizontal="center"/>
    </xf>
    <xf numFmtId="0" fontId="40" fillId="32" borderId="10" xfId="0" applyFont="1" applyFill="1" applyBorder="1" applyAlignment="1" applyProtection="1">
      <alignment horizontal="center"/>
    </xf>
    <xf numFmtId="166" fontId="40" fillId="32" borderId="10" xfId="0" applyNumberFormat="1" applyFont="1" applyFill="1" applyBorder="1" applyAlignment="1" applyProtection="1">
      <alignment horizontal="center"/>
    </xf>
    <xf numFmtId="165" fontId="13" fillId="32" borderId="0" xfId="0" applyNumberFormat="1" applyFont="1" applyFill="1" applyAlignment="1" applyProtection="1">
      <alignment horizontal="center"/>
    </xf>
    <xf numFmtId="165" fontId="0" fillId="32" borderId="0" xfId="0" applyNumberFormat="1" applyFill="1" applyAlignment="1" applyProtection="1">
      <alignment horizontal="center"/>
    </xf>
    <xf numFmtId="2" fontId="58" fillId="32" borderId="0" xfId="0" applyNumberFormat="1" applyFont="1" applyFill="1" applyAlignment="1" applyProtection="1">
      <alignment horizontal="center"/>
    </xf>
    <xf numFmtId="0" fontId="13" fillId="32" borderId="0" xfId="0" applyFont="1" applyFill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 applyProtection="1">
      <alignment horizontal="center"/>
    </xf>
    <xf numFmtId="166" fontId="13" fillId="0" borderId="0" xfId="0" applyNumberFormat="1" applyFont="1" applyFill="1" applyBorder="1" applyAlignment="1" applyProtection="1">
      <alignment horizontal="center"/>
    </xf>
    <xf numFmtId="16" fontId="0" fillId="0" borderId="0" xfId="0" applyNumberFormat="1"/>
    <xf numFmtId="16" fontId="35" fillId="0" borderId="0" xfId="0" applyNumberFormat="1" applyFont="1"/>
    <xf numFmtId="0" fontId="9" fillId="0" borderId="0" xfId="0" applyFont="1" applyAlignment="1">
      <alignment horizontal="right"/>
    </xf>
    <xf numFmtId="1" fontId="0" fillId="0" borderId="0" xfId="0" applyNumberFormat="1"/>
    <xf numFmtId="1" fontId="0" fillId="0" borderId="12" xfId="0" applyNumberFormat="1" applyBorder="1" applyAlignment="1">
      <alignment horizontal="center"/>
    </xf>
    <xf numFmtId="0" fontId="10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2" fillId="32" borderId="0" xfId="0" applyFont="1" applyFill="1" applyAlignment="1" applyProtection="1">
      <alignment horizontal="center"/>
    </xf>
    <xf numFmtId="0" fontId="13" fillId="32" borderId="0" xfId="0" applyFont="1" applyFill="1" applyBorder="1" applyAlignment="1" applyProtection="1">
      <alignment horizontal="center"/>
    </xf>
    <xf numFmtId="0" fontId="35" fillId="0" borderId="0" xfId="0" applyFont="1" applyBorder="1"/>
    <xf numFmtId="0" fontId="55" fillId="0" borderId="0" xfId="0" applyFont="1" applyBorder="1"/>
    <xf numFmtId="0" fontId="55" fillId="0" borderId="0" xfId="0" applyFont="1"/>
    <xf numFmtId="49" fontId="10" fillId="25" borderId="2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14" fontId="10" fillId="25" borderId="38" xfId="0" applyNumberFormat="1" applyFont="1" applyFill="1" applyBorder="1" applyAlignment="1" applyProtection="1">
      <alignment horizontal="center"/>
      <protection locked="0"/>
    </xf>
    <xf numFmtId="49" fontId="10" fillId="25" borderId="25" xfId="0" applyNumberFormat="1" applyFont="1" applyFill="1" applyBorder="1" applyAlignment="1" applyProtection="1">
      <alignment horizontal="center"/>
      <protection locked="0"/>
    </xf>
    <xf numFmtId="0" fontId="60" fillId="25" borderId="25" xfId="0" applyFont="1" applyFill="1" applyBorder="1" applyAlignment="1" applyProtection="1">
      <alignment horizontal="center"/>
      <protection locked="0"/>
    </xf>
    <xf numFmtId="0" fontId="60" fillId="30" borderId="25" xfId="0" applyFont="1" applyFill="1" applyBorder="1" applyAlignment="1" applyProtection="1">
      <alignment horizontal="center"/>
      <protection locked="0"/>
    </xf>
    <xf numFmtId="0" fontId="10" fillId="30" borderId="25" xfId="0" applyFont="1" applyFill="1" applyBorder="1" applyAlignment="1" applyProtection="1">
      <alignment horizontal="center"/>
      <protection locked="0"/>
    </xf>
    <xf numFmtId="14" fontId="10" fillId="30" borderId="25" xfId="0" applyNumberFormat="1" applyFont="1" applyFill="1" applyBorder="1" applyAlignment="1" applyProtection="1">
      <alignment horizontal="center"/>
      <protection locked="0"/>
    </xf>
    <xf numFmtId="14" fontId="10" fillId="30" borderId="29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0" fillId="32" borderId="0" xfId="0" applyFill="1" applyProtection="1">
      <protection locked="0"/>
    </xf>
    <xf numFmtId="0" fontId="0" fillId="32" borderId="0" xfId="0" applyFill="1" applyAlignment="1" applyProtection="1">
      <alignment horizontal="center"/>
      <protection locked="0"/>
    </xf>
    <xf numFmtId="0" fontId="10" fillId="30" borderId="13" xfId="0" applyFont="1" applyFill="1" applyBorder="1" applyAlignment="1" applyProtection="1">
      <alignment horizontal="center"/>
      <protection locked="0"/>
    </xf>
    <xf numFmtId="0" fontId="10" fillId="30" borderId="52" xfId="0" applyFont="1" applyFill="1" applyBorder="1" applyAlignment="1" applyProtection="1">
      <alignment horizontal="center"/>
      <protection locked="0"/>
    </xf>
    <xf numFmtId="0" fontId="10" fillId="30" borderId="14" xfId="0" applyFont="1" applyFill="1" applyBorder="1" applyAlignment="1" applyProtection="1">
      <alignment horizontal="center"/>
      <protection locked="0"/>
    </xf>
    <xf numFmtId="0" fontId="9" fillId="30" borderId="52" xfId="0" applyFont="1" applyFill="1" applyBorder="1" applyAlignment="1" applyProtection="1">
      <alignment horizontal="center"/>
      <protection locked="0"/>
    </xf>
    <xf numFmtId="0" fontId="0" fillId="30" borderId="52" xfId="0" applyFill="1" applyBorder="1" applyAlignment="1" applyProtection="1">
      <alignment horizontal="center"/>
      <protection locked="0"/>
    </xf>
    <xf numFmtId="0" fontId="0" fillId="30" borderId="14" xfId="0" applyFill="1" applyBorder="1" applyAlignment="1" applyProtection="1">
      <alignment horizontal="center"/>
      <protection locked="0"/>
    </xf>
    <xf numFmtId="0" fontId="9" fillId="30" borderId="13" xfId="0" applyFont="1" applyFill="1" applyBorder="1" applyAlignment="1" applyProtection="1">
      <alignment horizontal="center"/>
      <protection locked="0"/>
    </xf>
    <xf numFmtId="0" fontId="0" fillId="30" borderId="13" xfId="0" applyFill="1" applyBorder="1" applyAlignment="1" applyProtection="1">
      <alignment horizontal="center"/>
      <protection locked="0"/>
    </xf>
    <xf numFmtId="166" fontId="10" fillId="30" borderId="14" xfId="0" applyNumberFormat="1" applyFont="1" applyFill="1" applyBorder="1" applyAlignment="1" applyProtection="1">
      <alignment horizontal="center"/>
      <protection locked="0"/>
    </xf>
    <xf numFmtId="0" fontId="0" fillId="32" borderId="0" xfId="0" applyFill="1" applyBorder="1" applyAlignment="1" applyProtection="1">
      <alignment horizontal="center"/>
    </xf>
    <xf numFmtId="0" fontId="0" fillId="32" borderId="0" xfId="0" applyFill="1" applyBorder="1" applyAlignment="1" applyProtection="1">
      <alignment horizontal="left"/>
    </xf>
    <xf numFmtId="0" fontId="0" fillId="32" borderId="0" xfId="0" applyFill="1" applyBorder="1" applyProtection="1"/>
    <xf numFmtId="0" fontId="52" fillId="32" borderId="0" xfId="0" applyFont="1" applyFill="1" applyBorder="1" applyAlignment="1" applyProtection="1">
      <alignment horizontal="center"/>
    </xf>
    <xf numFmtId="0" fontId="10" fillId="32" borderId="0" xfId="0" applyFont="1" applyFill="1" applyBorder="1" applyAlignment="1" applyProtection="1">
      <alignment horizontal="center"/>
    </xf>
    <xf numFmtId="0" fontId="0" fillId="34" borderId="12" xfId="0" applyFill="1" applyBorder="1" applyAlignment="1" applyProtection="1">
      <alignment horizontal="center"/>
    </xf>
    <xf numFmtId="2" fontId="0" fillId="33" borderId="53" xfId="0" applyNumberFormat="1" applyFill="1" applyBorder="1" applyProtection="1"/>
    <xf numFmtId="0" fontId="0" fillId="33" borderId="53" xfId="0" applyFill="1" applyBorder="1" applyProtection="1"/>
    <xf numFmtId="165" fontId="0" fillId="33" borderId="53" xfId="0" applyNumberFormat="1" applyFill="1" applyBorder="1" applyProtection="1"/>
    <xf numFmtId="1" fontId="0" fillId="33" borderId="53" xfId="0" applyNumberFormat="1" applyFill="1" applyBorder="1" applyProtection="1"/>
    <xf numFmtId="14" fontId="0" fillId="33" borderId="53" xfId="0" applyNumberFormat="1" applyFill="1" applyBorder="1" applyProtection="1"/>
    <xf numFmtId="2" fontId="0" fillId="34" borderId="53" xfId="0" applyNumberFormat="1" applyFill="1" applyBorder="1" applyProtection="1"/>
    <xf numFmtId="0" fontId="9" fillId="33" borderId="53" xfId="0" applyFont="1" applyFill="1" applyBorder="1" applyProtection="1"/>
    <xf numFmtId="19" fontId="0" fillId="33" borderId="53" xfId="0" applyNumberFormat="1" applyFill="1" applyBorder="1" applyProtection="1"/>
    <xf numFmtId="0" fontId="9" fillId="32" borderId="0" xfId="0" applyFont="1" applyFill="1" applyBorder="1" applyAlignment="1" applyProtection="1">
      <alignment horizontal="center"/>
    </xf>
    <xf numFmtId="166" fontId="0" fillId="32" borderId="0" xfId="0" applyNumberFormat="1" applyFill="1" applyBorder="1" applyAlignment="1" applyProtection="1">
      <alignment horizontal="center"/>
    </xf>
    <xf numFmtId="0" fontId="0" fillId="32" borderId="10" xfId="0" applyFill="1" applyBorder="1" applyProtection="1"/>
    <xf numFmtId="0" fontId="0" fillId="32" borderId="10" xfId="0" applyFill="1" applyBorder="1" applyAlignment="1" applyProtection="1">
      <alignment horizontal="center"/>
    </xf>
    <xf numFmtId="0" fontId="13" fillId="32" borderId="49" xfId="0" applyFont="1" applyFill="1" applyBorder="1" applyAlignment="1" applyProtection="1">
      <alignment horizontal="left"/>
    </xf>
    <xf numFmtId="1" fontId="13" fillId="30" borderId="15" xfId="0" applyNumberFormat="1" applyFont="1" applyFill="1" applyBorder="1" applyAlignment="1" applyProtection="1">
      <alignment horizontal="center"/>
      <protection locked="0"/>
    </xf>
    <xf numFmtId="1" fontId="13" fillId="30" borderId="12" xfId="0" applyNumberFormat="1" applyFont="1" applyFill="1" applyBorder="1" applyAlignment="1" applyProtection="1">
      <alignment horizontal="center"/>
      <protection locked="0"/>
    </xf>
    <xf numFmtId="0" fontId="13" fillId="30" borderId="12" xfId="0" applyFont="1" applyFill="1" applyBorder="1" applyAlignment="1" applyProtection="1">
      <alignment horizontal="center"/>
      <protection locked="0"/>
    </xf>
    <xf numFmtId="165" fontId="13" fillId="30" borderId="12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Protection="1"/>
    <xf numFmtId="2" fontId="32" fillId="31" borderId="12" xfId="0" applyNumberFormat="1" applyFont="1" applyFill="1" applyBorder="1" applyAlignment="1" applyProtection="1">
      <alignment horizontal="center"/>
    </xf>
    <xf numFmtId="164" fontId="32" fillId="31" borderId="12" xfId="0" applyNumberFormat="1" applyFont="1" applyFill="1" applyBorder="1" applyAlignment="1" applyProtection="1">
      <alignment horizontal="center"/>
    </xf>
    <xf numFmtId="0" fontId="40" fillId="31" borderId="12" xfId="0" applyFont="1" applyFill="1" applyBorder="1" applyAlignment="1" applyProtection="1">
      <alignment horizontal="center"/>
    </xf>
    <xf numFmtId="0" fontId="13" fillId="32" borderId="0" xfId="0" applyFont="1" applyFill="1" applyBorder="1" applyAlignment="1" applyProtection="1">
      <alignment horizontal="center"/>
    </xf>
    <xf numFmtId="0" fontId="32" fillId="32" borderId="54" xfId="0" applyFont="1" applyFill="1" applyBorder="1" applyAlignment="1" applyProtection="1">
      <alignment horizontal="left"/>
    </xf>
    <xf numFmtId="1" fontId="55" fillId="0" borderId="0" xfId="0" applyNumberFormat="1" applyFont="1" applyBorder="1"/>
    <xf numFmtId="16" fontId="65" fillId="0" borderId="0" xfId="0" applyNumberFormat="1" applyFont="1" applyBorder="1"/>
    <xf numFmtId="0" fontId="55" fillId="0" borderId="0" xfId="0" applyFont="1" applyBorder="1" applyAlignment="1">
      <alignment horizontal="center"/>
    </xf>
    <xf numFmtId="0" fontId="55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166" fontId="0" fillId="0" borderId="12" xfId="0" applyNumberForma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35" fillId="0" borderId="0" xfId="0" applyFont="1"/>
    <xf numFmtId="0" fontId="10" fillId="0" borderId="0" xfId="0" applyFont="1"/>
    <xf numFmtId="0" fontId="32" fillId="32" borderId="54" xfId="0" applyFont="1" applyFill="1" applyBorder="1" applyAlignment="1" applyProtection="1">
      <alignment horizontal="center"/>
    </xf>
    <xf numFmtId="1" fontId="55" fillId="0" borderId="0" xfId="0" applyNumberFormat="1" applyFont="1" applyBorder="1" applyAlignment="1">
      <alignment horizontal="center"/>
    </xf>
    <xf numFmtId="0" fontId="13" fillId="32" borderId="0" xfId="0" applyFont="1" applyFill="1" applyBorder="1" applyAlignment="1" applyProtection="1">
      <alignment horizontal="center"/>
    </xf>
    <xf numFmtId="0" fontId="32" fillId="32" borderId="48" xfId="0" applyFont="1" applyFill="1" applyBorder="1" applyAlignment="1" applyProtection="1">
      <alignment horizontal="left"/>
    </xf>
    <xf numFmtId="0" fontId="10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" fontId="9" fillId="0" borderId="0" xfId="0" applyNumberFormat="1" applyFont="1" applyBorder="1"/>
    <xf numFmtId="2" fontId="9" fillId="0" borderId="0" xfId="0" applyNumberFormat="1" applyFont="1" applyBorder="1" applyAlignment="1">
      <alignment horizontal="right"/>
    </xf>
    <xf numFmtId="0" fontId="32" fillId="32" borderId="55" xfId="0" applyFont="1" applyFill="1" applyBorder="1" applyAlignment="1" applyProtection="1">
      <alignment horizontal="center"/>
    </xf>
    <xf numFmtId="9" fontId="13" fillId="31" borderId="0" xfId="0" applyNumberFormat="1" applyFont="1" applyFill="1" applyBorder="1" applyAlignment="1" applyProtection="1">
      <alignment horizontal="center"/>
    </xf>
    <xf numFmtId="10" fontId="9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0" applyNumberFormat="1" applyBorder="1"/>
    <xf numFmtId="0" fontId="64" fillId="0" borderId="0" xfId="0" applyFont="1"/>
    <xf numFmtId="1" fontId="55" fillId="0" borderId="0" xfId="0" applyNumberFormat="1" applyFont="1"/>
    <xf numFmtId="0" fontId="65" fillId="0" borderId="0" xfId="0" applyFont="1" applyBorder="1"/>
    <xf numFmtId="0" fontId="13" fillId="32" borderId="0" xfId="0" applyFont="1" applyFill="1" applyBorder="1" applyAlignment="1" applyProtection="1">
      <alignment horizontal="center"/>
    </xf>
    <xf numFmtId="0" fontId="32" fillId="32" borderId="54" xfId="0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10" fontId="13" fillId="28" borderId="0" xfId="0" applyNumberFormat="1" applyFont="1" applyFill="1" applyBorder="1" applyAlignment="1" applyProtection="1">
      <alignment horizontal="center"/>
    </xf>
    <xf numFmtId="0" fontId="32" fillId="28" borderId="0" xfId="0" applyFont="1" applyFill="1" applyBorder="1" applyAlignment="1" applyProtection="1">
      <alignment horizontal="center"/>
    </xf>
    <xf numFmtId="0" fontId="13" fillId="32" borderId="48" xfId="0" applyFont="1" applyFill="1" applyBorder="1" applyAlignment="1" applyProtection="1">
      <alignment horizontal="left"/>
    </xf>
    <xf numFmtId="0" fontId="13" fillId="32" borderId="49" xfId="0" applyFont="1" applyFill="1" applyBorder="1" applyAlignment="1" applyProtection="1">
      <alignment horizontal="right"/>
    </xf>
    <xf numFmtId="10" fontId="13" fillId="28" borderId="56" xfId="0" applyNumberFormat="1" applyFont="1" applyFill="1" applyBorder="1" applyAlignment="1" applyProtection="1">
      <alignment horizontal="center"/>
    </xf>
    <xf numFmtId="2" fontId="13" fillId="28" borderId="0" xfId="0" applyNumberFormat="1" applyFont="1" applyFill="1" applyBorder="1" applyAlignment="1" applyProtection="1">
      <alignment horizontal="center"/>
    </xf>
    <xf numFmtId="0" fontId="32" fillId="28" borderId="56" xfId="0" applyFont="1" applyFill="1" applyBorder="1" applyAlignment="1" applyProtection="1">
      <alignment horizontal="center"/>
    </xf>
    <xf numFmtId="2" fontId="32" fillId="28" borderId="0" xfId="0" applyNumberFormat="1" applyFont="1" applyFill="1" applyBorder="1" applyAlignment="1" applyProtection="1">
      <alignment horizontal="center"/>
    </xf>
    <xf numFmtId="0" fontId="13" fillId="28" borderId="0" xfId="0" applyFont="1" applyFill="1" applyBorder="1" applyProtection="1"/>
    <xf numFmtId="0" fontId="13" fillId="28" borderId="0" xfId="0" applyFont="1" applyFill="1" applyBorder="1" applyAlignment="1" applyProtection="1">
      <alignment horizontal="left"/>
    </xf>
    <xf numFmtId="2" fontId="13" fillId="28" borderId="10" xfId="0" applyNumberFormat="1" applyFont="1" applyFill="1" applyBorder="1" applyAlignment="1" applyProtection="1">
      <alignment horizontal="center"/>
    </xf>
    <xf numFmtId="0" fontId="32" fillId="28" borderId="10" xfId="0" applyFont="1" applyFill="1" applyBorder="1" applyAlignment="1" applyProtection="1">
      <alignment horizontal="center"/>
    </xf>
    <xf numFmtId="0" fontId="13" fillId="34" borderId="12" xfId="0" applyFont="1" applyFill="1" applyBorder="1" applyAlignment="1">
      <alignment horizontal="center"/>
    </xf>
    <xf numFmtId="2" fontId="13" fillId="28" borderId="56" xfId="0" applyNumberFormat="1" applyFont="1" applyFill="1" applyBorder="1" applyAlignment="1" applyProtection="1">
      <alignment horizontal="center"/>
    </xf>
    <xf numFmtId="0" fontId="13" fillId="28" borderId="10" xfId="0" applyFont="1" applyFill="1" applyBorder="1" applyProtection="1"/>
    <xf numFmtId="0" fontId="13" fillId="28" borderId="0" xfId="0" applyFont="1" applyFill="1" applyBorder="1" applyAlignment="1">
      <alignment horizontal="center"/>
    </xf>
    <xf numFmtId="166" fontId="32" fillId="32" borderId="12" xfId="0" applyNumberFormat="1" applyFont="1" applyFill="1" applyBorder="1" applyAlignment="1" applyProtection="1">
      <alignment horizontal="center"/>
    </xf>
    <xf numFmtId="2" fontId="10" fillId="0" borderId="12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10" fontId="0" fillId="0" borderId="12" xfId="0" applyNumberFormat="1" applyBorder="1"/>
    <xf numFmtId="0" fontId="0" fillId="0" borderId="0" xfId="0" applyBorder="1" applyAlignment="1">
      <alignment horizontal="center"/>
    </xf>
    <xf numFmtId="0" fontId="32" fillId="32" borderId="0" xfId="0" applyFont="1" applyFill="1" applyBorder="1" applyProtection="1"/>
    <xf numFmtId="0" fontId="32" fillId="32" borderId="49" xfId="0" applyFont="1" applyFill="1" applyBorder="1" applyProtection="1"/>
    <xf numFmtId="1" fontId="13" fillId="31" borderId="12" xfId="0" applyNumberFormat="1" applyFont="1" applyFill="1" applyBorder="1" applyAlignment="1" applyProtection="1">
      <alignment horizontal="center"/>
    </xf>
    <xf numFmtId="10" fontId="0" fillId="0" borderId="0" xfId="0" applyNumberFormat="1" applyBorder="1" applyAlignment="1">
      <alignment horizontal="center"/>
    </xf>
    <xf numFmtId="0" fontId="32" fillId="32" borderId="50" xfId="0" applyFont="1" applyFill="1" applyBorder="1" applyAlignment="1" applyProtection="1">
      <alignment horizontal="left"/>
    </xf>
    <xf numFmtId="0" fontId="32" fillId="32" borderId="31" xfId="0" applyFont="1" applyFill="1" applyBorder="1" applyAlignment="1" applyProtection="1">
      <alignment horizontal="left"/>
    </xf>
    <xf numFmtId="0" fontId="41" fillId="32" borderId="0" xfId="0" applyFont="1" applyFill="1" applyAlignment="1" applyProtection="1"/>
    <xf numFmtId="0" fontId="41" fillId="32" borderId="54" xfId="0" applyFont="1" applyFill="1" applyBorder="1" applyAlignment="1" applyProtection="1"/>
    <xf numFmtId="0" fontId="41" fillId="32" borderId="55" xfId="0" applyFont="1" applyFill="1" applyBorder="1" applyAlignment="1" applyProtection="1"/>
    <xf numFmtId="164" fontId="13" fillId="31" borderId="31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1" borderId="25" xfId="0" applyFont="1" applyFill="1" applyBorder="1" applyAlignment="1" applyProtection="1">
      <alignment horizontal="center"/>
    </xf>
    <xf numFmtId="0" fontId="9" fillId="32" borderId="0" xfId="0" applyFont="1" applyFill="1" applyBorder="1" applyAlignment="1" applyProtection="1">
      <alignment horizontal="left"/>
    </xf>
    <xf numFmtId="0" fontId="9" fillId="32" borderId="0" xfId="0" applyFont="1" applyFill="1" applyAlignment="1" applyProtection="1">
      <alignment horizontal="left"/>
    </xf>
    <xf numFmtId="2" fontId="55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10" fontId="55" fillId="0" borderId="0" xfId="0" applyNumberFormat="1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2" fontId="55" fillId="0" borderId="0" xfId="0" applyNumberFormat="1" applyFont="1" applyBorder="1" applyAlignment="1">
      <alignment horizontal="right"/>
    </xf>
    <xf numFmtId="0" fontId="10" fillId="32" borderId="0" xfId="0" applyFont="1" applyFill="1" applyAlignment="1" applyProtection="1">
      <alignment horizontal="right"/>
    </xf>
    <xf numFmtId="0" fontId="67" fillId="0" borderId="0" xfId="0" applyFont="1" applyAlignment="1">
      <alignment horizontal="left"/>
    </xf>
    <xf numFmtId="0" fontId="67" fillId="0" borderId="0" xfId="0" applyFont="1" applyAlignment="1">
      <alignment horizontal="right"/>
    </xf>
    <xf numFmtId="0" fontId="0" fillId="0" borderId="26" xfId="0" applyBorder="1" applyAlignment="1">
      <alignment horizontal="center"/>
    </xf>
    <xf numFmtId="0" fontId="9" fillId="0" borderId="54" xfId="0" applyFont="1" applyBorder="1" applyProtection="1">
      <protection locked="0"/>
    </xf>
    <xf numFmtId="0" fontId="9" fillId="0" borderId="55" xfId="0" applyFont="1" applyBorder="1" applyProtection="1">
      <protection locked="0"/>
    </xf>
    <xf numFmtId="0" fontId="9" fillId="0" borderId="50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69" fillId="0" borderId="48" xfId="0" applyFont="1" applyBorder="1" applyProtection="1">
      <protection locked="0"/>
    </xf>
    <xf numFmtId="0" fontId="9" fillId="0" borderId="0" xfId="0" applyFont="1" applyProtection="1"/>
    <xf numFmtId="49" fontId="35" fillId="0" borderId="0" xfId="0" applyNumberFormat="1" applyFont="1" applyProtection="1"/>
    <xf numFmtId="0" fontId="37" fillId="0" borderId="0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0" fontId="37" fillId="0" borderId="0" xfId="0" applyFont="1" applyBorder="1" applyProtection="1"/>
    <xf numFmtId="49" fontId="9" fillId="0" borderId="0" xfId="0" applyNumberFormat="1" applyFont="1" applyBorder="1" applyProtection="1"/>
    <xf numFmtId="0" fontId="9" fillId="0" borderId="0" xfId="0" applyFont="1" applyAlignment="1" applyProtection="1">
      <alignment horizontal="left" vertical="center"/>
    </xf>
    <xf numFmtId="0" fontId="37" fillId="0" borderId="0" xfId="0" applyFont="1" applyProtection="1"/>
    <xf numFmtId="0" fontId="68" fillId="0" borderId="0" xfId="0" applyFont="1" applyProtection="1"/>
    <xf numFmtId="0" fontId="9" fillId="0" borderId="54" xfId="0" applyFont="1" applyBorder="1" applyProtection="1"/>
    <xf numFmtId="0" fontId="9" fillId="0" borderId="55" xfId="0" applyFont="1" applyBorder="1" applyProtection="1"/>
    <xf numFmtId="0" fontId="9" fillId="0" borderId="49" xfId="0" applyFont="1" applyBorder="1" applyProtection="1"/>
    <xf numFmtId="0" fontId="9" fillId="0" borderId="56" xfId="0" applyFont="1" applyBorder="1" applyProtection="1"/>
    <xf numFmtId="0" fontId="9" fillId="0" borderId="50" xfId="0" applyFont="1" applyBorder="1" applyProtection="1"/>
    <xf numFmtId="0" fontId="9" fillId="0" borderId="31" xfId="0" applyFont="1" applyBorder="1" applyProtection="1"/>
    <xf numFmtId="0" fontId="9" fillId="0" borderId="46" xfId="0" applyFont="1" applyBorder="1" applyProtection="1"/>
    <xf numFmtId="0" fontId="35" fillId="0" borderId="0" xfId="0" applyFont="1" applyBorder="1" applyProtection="1"/>
    <xf numFmtId="0" fontId="35" fillId="0" borderId="0" xfId="0" applyFont="1" applyBorder="1" applyAlignment="1" applyProtection="1">
      <alignment horizontal="left"/>
    </xf>
    <xf numFmtId="0" fontId="37" fillId="0" borderId="0" xfId="0" applyFont="1" applyBorder="1" applyAlignment="1" applyProtection="1">
      <alignment horizontal="left"/>
    </xf>
    <xf numFmtId="0" fontId="9" fillId="0" borderId="48" xfId="0" applyFont="1" applyBorder="1" applyProtection="1"/>
    <xf numFmtId="0" fontId="9" fillId="0" borderId="54" xfId="0" applyNumberFormat="1" applyFont="1" applyBorder="1" applyAlignment="1" applyProtection="1">
      <alignment horizontal="left"/>
    </xf>
    <xf numFmtId="0" fontId="9" fillId="0" borderId="0" xfId="0" applyNumberFormat="1" applyFont="1" applyBorder="1" applyAlignment="1" applyProtection="1">
      <alignment horizontal="left"/>
    </xf>
    <xf numFmtId="14" fontId="9" fillId="0" borderId="0" xfId="0" applyNumberFormat="1" applyFont="1" applyBorder="1" applyAlignment="1" applyProtection="1">
      <alignment horizontal="left"/>
    </xf>
    <xf numFmtId="0" fontId="9" fillId="0" borderId="31" xfId="0" applyNumberFormat="1" applyFont="1" applyBorder="1" applyAlignment="1" applyProtection="1">
      <alignment horizontal="left"/>
    </xf>
    <xf numFmtId="14" fontId="9" fillId="0" borderId="31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37" fillId="0" borderId="0" xfId="0" applyFont="1" applyFill="1" applyBorder="1" applyProtection="1"/>
    <xf numFmtId="0" fontId="66" fillId="0" borderId="0" xfId="0" applyFont="1" applyFill="1" applyBorder="1" applyProtection="1"/>
    <xf numFmtId="0" fontId="66" fillId="0" borderId="0" xfId="0" applyFont="1" applyProtection="1"/>
    <xf numFmtId="0" fontId="55" fillId="0" borderId="0" xfId="0" applyFont="1" applyFill="1" applyBorder="1" applyProtection="1"/>
    <xf numFmtId="0" fontId="55" fillId="0" borderId="0" xfId="0" applyFont="1" applyProtection="1"/>
    <xf numFmtId="0" fontId="0" fillId="0" borderId="0" xfId="0" applyProtection="1"/>
    <xf numFmtId="0" fontId="13" fillId="32" borderId="0" xfId="0" applyFont="1" applyFill="1" applyBorder="1" applyAlignment="1" applyProtection="1">
      <alignment horizontal="center"/>
    </xf>
    <xf numFmtId="166" fontId="13" fillId="32" borderId="0" xfId="0" applyNumberFormat="1" applyFont="1" applyFill="1" applyBorder="1" applyProtection="1"/>
    <xf numFmtId="165" fontId="40" fillId="31" borderId="12" xfId="0" applyNumberFormat="1" applyFont="1" applyFill="1" applyBorder="1" applyAlignment="1" applyProtection="1">
      <alignment horizontal="center"/>
    </xf>
    <xf numFmtId="10" fontId="0" fillId="0" borderId="26" xfId="0" applyNumberFormat="1" applyBorder="1" applyAlignment="1">
      <alignment horizontal="center"/>
    </xf>
    <xf numFmtId="10" fontId="0" fillId="0" borderId="26" xfId="0" applyNumberFormat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10" fontId="9" fillId="0" borderId="26" xfId="0" applyNumberFormat="1" applyFon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0" fontId="0" fillId="0" borderId="58" xfId="0" applyBorder="1" applyAlignment="1">
      <alignment horizontal="center"/>
    </xf>
    <xf numFmtId="1" fontId="9" fillId="0" borderId="55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164" fontId="13" fillId="31" borderId="12" xfId="0" applyNumberFormat="1" applyFont="1" applyFill="1" applyBorder="1" applyAlignment="1" applyProtection="1">
      <alignment horizontal="center"/>
    </xf>
    <xf numFmtId="0" fontId="32" fillId="34" borderId="1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10" fontId="13" fillId="28" borderId="12" xfId="0" applyNumberFormat="1" applyFont="1" applyFill="1" applyBorder="1" applyAlignment="1" applyProtection="1">
      <alignment horizontal="center"/>
    </xf>
    <xf numFmtId="0" fontId="9" fillId="0" borderId="26" xfId="0" applyFont="1" applyBorder="1" applyAlignment="1">
      <alignment horizontal="center"/>
    </xf>
    <xf numFmtId="0" fontId="9" fillId="30" borderId="18" xfId="0" applyFont="1" applyFill="1" applyBorder="1" applyProtection="1">
      <protection locked="0"/>
    </xf>
    <xf numFmtId="0" fontId="0" fillId="30" borderId="19" xfId="0" applyFill="1" applyBorder="1" applyProtection="1">
      <protection locked="0"/>
    </xf>
    <xf numFmtId="0" fontId="0" fillId="30" borderId="20" xfId="0" applyFill="1" applyBorder="1" applyProtection="1">
      <protection locked="0"/>
    </xf>
    <xf numFmtId="0" fontId="9" fillId="30" borderId="43" xfId="0" applyFont="1" applyFill="1" applyBorder="1" applyProtection="1">
      <protection locked="0"/>
    </xf>
    <xf numFmtId="0" fontId="0" fillId="30" borderId="44" xfId="0" applyFill="1" applyBorder="1" applyProtection="1">
      <protection locked="0"/>
    </xf>
    <xf numFmtId="0" fontId="9" fillId="30" borderId="44" xfId="0" applyFont="1" applyFill="1" applyBorder="1" applyAlignment="1" applyProtection="1">
      <alignment horizontal="left"/>
      <protection locked="0"/>
    </xf>
    <xf numFmtId="0" fontId="0" fillId="30" borderId="44" xfId="0" applyFill="1" applyBorder="1" applyAlignment="1" applyProtection="1">
      <alignment horizontal="center"/>
      <protection locked="0"/>
    </xf>
    <xf numFmtId="0" fontId="0" fillId="30" borderId="45" xfId="0" applyFill="1" applyBorder="1" applyProtection="1">
      <protection locked="0"/>
    </xf>
    <xf numFmtId="0" fontId="0" fillId="30" borderId="32" xfId="0" applyFill="1" applyBorder="1" applyProtection="1">
      <protection locked="0"/>
    </xf>
    <xf numFmtId="0" fontId="0" fillId="30" borderId="10" xfId="0" applyFill="1" applyBorder="1" applyProtection="1">
      <protection locked="0"/>
    </xf>
    <xf numFmtId="0" fontId="0" fillId="30" borderId="10" xfId="0" applyFill="1" applyBorder="1" applyAlignment="1" applyProtection="1">
      <alignment horizontal="center"/>
      <protection locked="0"/>
    </xf>
    <xf numFmtId="0" fontId="0" fillId="30" borderId="37" xfId="0" applyFill="1" applyBorder="1" applyProtection="1">
      <protection locked="0"/>
    </xf>
    <xf numFmtId="2" fontId="0" fillId="0" borderId="26" xfId="0" applyNumberFormat="1" applyBorder="1" applyAlignment="1">
      <alignment horizontal="center"/>
    </xf>
    <xf numFmtId="0" fontId="60" fillId="0" borderId="0" xfId="0" applyFont="1" applyAlignment="1">
      <alignment horizontal="left"/>
    </xf>
    <xf numFmtId="0" fontId="70" fillId="0" borderId="0" xfId="0" applyFont="1"/>
    <xf numFmtId="0" fontId="70" fillId="0" borderId="0" xfId="0" applyFont="1" applyBorder="1"/>
    <xf numFmtId="1" fontId="70" fillId="0" borderId="0" xfId="0" applyNumberFormat="1" applyFont="1" applyBorder="1"/>
    <xf numFmtId="0" fontId="70" fillId="0" borderId="0" xfId="0" applyFont="1" applyAlignment="1">
      <alignment horizontal="center"/>
    </xf>
    <xf numFmtId="0" fontId="71" fillId="0" borderId="0" xfId="0" applyFont="1"/>
    <xf numFmtId="0" fontId="60" fillId="0" borderId="0" xfId="0" applyFont="1" applyAlignment="1">
      <alignment horizontal="right"/>
    </xf>
    <xf numFmtId="0" fontId="9" fillId="30" borderId="19" xfId="0" applyFont="1" applyFill="1" applyBorder="1" applyProtection="1">
      <protection locked="0"/>
    </xf>
    <xf numFmtId="0" fontId="9" fillId="30" borderId="19" xfId="0" applyFont="1" applyFill="1" applyBorder="1" applyAlignment="1" applyProtection="1">
      <alignment horizontal="center"/>
      <protection locked="0"/>
    </xf>
    <xf numFmtId="2" fontId="9" fillId="30" borderId="19" xfId="0" applyNumberFormat="1" applyFont="1" applyFill="1" applyBorder="1" applyAlignment="1" applyProtection="1">
      <alignment horizontal="center"/>
      <protection locked="0"/>
    </xf>
    <xf numFmtId="0" fontId="9" fillId="30" borderId="20" xfId="0" applyFont="1" applyFill="1" applyBorder="1" applyAlignment="1" applyProtection="1">
      <alignment horizontal="center"/>
      <protection locked="0"/>
    </xf>
    <xf numFmtId="0" fontId="10" fillId="30" borderId="43" xfId="0" applyFont="1" applyFill="1" applyBorder="1" applyAlignment="1" applyProtection="1">
      <alignment horizontal="left"/>
      <protection locked="0"/>
    </xf>
    <xf numFmtId="0" fontId="10" fillId="30" borderId="32" xfId="0" applyFont="1" applyFill="1" applyBorder="1" applyAlignment="1" applyProtection="1">
      <protection locked="0"/>
    </xf>
    <xf numFmtId="0" fontId="9" fillId="30" borderId="10" xfId="0" applyFont="1" applyFill="1" applyBorder="1" applyProtection="1">
      <protection locked="0"/>
    </xf>
    <xf numFmtId="0" fontId="9" fillId="30" borderId="19" xfId="0" applyFont="1" applyFill="1" applyBorder="1" applyAlignment="1" applyProtection="1">
      <alignment horizontal="left"/>
      <protection locked="0"/>
    </xf>
    <xf numFmtId="0" fontId="10" fillId="30" borderId="18" xfId="0" applyFont="1" applyFill="1" applyBorder="1" applyProtection="1">
      <protection locked="0"/>
    </xf>
    <xf numFmtId="166" fontId="9" fillId="30" borderId="19" xfId="0" applyNumberFormat="1" applyFont="1" applyFill="1" applyBorder="1" applyAlignment="1" applyProtection="1">
      <alignment horizontal="center"/>
      <protection locked="0"/>
    </xf>
    <xf numFmtId="164" fontId="9" fillId="30" borderId="19" xfId="0" applyNumberFormat="1" applyFont="1" applyFill="1" applyBorder="1" applyAlignment="1" applyProtection="1">
      <alignment horizontal="center"/>
      <protection locked="0"/>
    </xf>
    <xf numFmtId="1" fontId="9" fillId="30" borderId="19" xfId="0" applyNumberFormat="1" applyFont="1" applyFill="1" applyBorder="1" applyAlignment="1" applyProtection="1">
      <alignment horizontal="center"/>
      <protection locked="0"/>
    </xf>
    <xf numFmtId="0" fontId="9" fillId="30" borderId="20" xfId="0" applyFont="1" applyFill="1" applyBorder="1" applyProtection="1">
      <protection locked="0"/>
    </xf>
    <xf numFmtId="0" fontId="10" fillId="30" borderId="19" xfId="0" applyFont="1" applyFill="1" applyBorder="1" applyAlignment="1" applyProtection="1">
      <alignment horizontal="center"/>
      <protection locked="0"/>
    </xf>
    <xf numFmtId="0" fontId="32" fillId="30" borderId="48" xfId="0" applyFont="1" applyFill="1" applyBorder="1" applyProtection="1">
      <protection locked="0"/>
    </xf>
    <xf numFmtId="0" fontId="13" fillId="30" borderId="54" xfId="0" applyFont="1" applyFill="1" applyBorder="1" applyProtection="1">
      <protection locked="0"/>
    </xf>
    <xf numFmtId="0" fontId="13" fillId="30" borderId="55" xfId="0" applyFont="1" applyFill="1" applyBorder="1" applyProtection="1">
      <protection locked="0"/>
    </xf>
    <xf numFmtId="0" fontId="13" fillId="30" borderId="49" xfId="0" applyFont="1" applyFill="1" applyBorder="1" applyProtection="1">
      <protection locked="0"/>
    </xf>
    <xf numFmtId="0" fontId="13" fillId="30" borderId="0" xfId="0" applyFont="1" applyFill="1" applyBorder="1" applyProtection="1">
      <protection locked="0"/>
    </xf>
    <xf numFmtId="0" fontId="13" fillId="30" borderId="56" xfId="0" applyFont="1" applyFill="1" applyBorder="1" applyProtection="1">
      <protection locked="0"/>
    </xf>
    <xf numFmtId="0" fontId="13" fillId="30" borderId="50" xfId="0" applyFont="1" applyFill="1" applyBorder="1" applyProtection="1">
      <protection locked="0"/>
    </xf>
    <xf numFmtId="0" fontId="13" fillId="30" borderId="31" xfId="0" applyFont="1" applyFill="1" applyBorder="1" applyProtection="1">
      <protection locked="0"/>
    </xf>
    <xf numFmtId="0" fontId="13" fillId="30" borderId="46" xfId="0" applyFont="1" applyFill="1" applyBorder="1" applyProtection="1">
      <protection locked="0"/>
    </xf>
    <xf numFmtId="0" fontId="10" fillId="34" borderId="18" xfId="0" applyFont="1" applyFill="1" applyBorder="1" applyProtection="1"/>
    <xf numFmtId="0" fontId="13" fillId="34" borderId="19" xfId="0" applyFont="1" applyFill="1" applyBorder="1" applyProtection="1"/>
    <xf numFmtId="0" fontId="13" fillId="34" borderId="20" xfId="0" applyFont="1" applyFill="1" applyBorder="1" applyProtection="1"/>
    <xf numFmtId="164" fontId="13" fillId="31" borderId="28" xfId="0" applyNumberFormat="1" applyFont="1" applyFill="1" applyBorder="1" applyAlignment="1" applyProtection="1">
      <alignment horizontal="center"/>
    </xf>
    <xf numFmtId="0" fontId="10" fillId="34" borderId="30" xfId="0" applyFont="1" applyFill="1" applyBorder="1" applyAlignment="1" applyProtection="1">
      <alignment horizontal="center"/>
    </xf>
    <xf numFmtId="0" fontId="10" fillId="28" borderId="0" xfId="0" applyFont="1" applyFill="1" applyBorder="1" applyAlignment="1" applyProtection="1">
      <alignment horizontal="left"/>
    </xf>
    <xf numFmtId="0" fontId="10" fillId="28" borderId="0" xfId="0" applyFont="1" applyFill="1" applyBorder="1" applyAlignment="1" applyProtection="1">
      <alignment horizontal="center"/>
    </xf>
    <xf numFmtId="0" fontId="13" fillId="30" borderId="43" xfId="0" applyFont="1" applyFill="1" applyBorder="1" applyProtection="1">
      <protection locked="0"/>
    </xf>
    <xf numFmtId="0" fontId="13" fillId="30" borderId="44" xfId="0" applyFont="1" applyFill="1" applyBorder="1" applyProtection="1">
      <protection locked="0"/>
    </xf>
    <xf numFmtId="0" fontId="13" fillId="30" borderId="45" xfId="0" applyFont="1" applyFill="1" applyBorder="1" applyProtection="1">
      <protection locked="0"/>
    </xf>
    <xf numFmtId="0" fontId="13" fillId="30" borderId="17" xfId="0" applyFont="1" applyFill="1" applyBorder="1" applyProtection="1">
      <protection locked="0"/>
    </xf>
    <xf numFmtId="0" fontId="13" fillId="30" borderId="21" xfId="0" applyFont="1" applyFill="1" applyBorder="1" applyProtection="1">
      <protection locked="0"/>
    </xf>
    <xf numFmtId="0" fontId="13" fillId="30" borderId="3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37" xfId="0" applyFont="1" applyFill="1" applyBorder="1" applyProtection="1">
      <protection locked="0"/>
    </xf>
    <xf numFmtId="0" fontId="13" fillId="30" borderId="48" xfId="0" applyFont="1" applyFill="1" applyBorder="1" applyProtection="1">
      <protection locked="0"/>
    </xf>
    <xf numFmtId="0" fontId="32" fillId="28" borderId="0" xfId="0" applyFont="1" applyFill="1" applyBorder="1" applyAlignment="1" applyProtection="1">
      <alignment horizontal="right"/>
      <protection locked="0"/>
    </xf>
    <xf numFmtId="0" fontId="13" fillId="28" borderId="0" xfId="0" applyFont="1" applyFill="1" applyBorder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36" fillId="30" borderId="12" xfId="0" applyNumberFormat="1" applyFont="1" applyFill="1" applyBorder="1" applyAlignment="1" applyProtection="1">
      <alignment horizontal="center"/>
      <protection locked="0"/>
    </xf>
    <xf numFmtId="0" fontId="36" fillId="30" borderId="12" xfId="0" applyFont="1" applyFill="1" applyBorder="1" applyAlignment="1" applyProtection="1">
      <alignment horizontal="center"/>
      <protection locked="0"/>
    </xf>
    <xf numFmtId="0" fontId="9" fillId="30" borderId="12" xfId="0" applyFont="1" applyFill="1" applyBorder="1" applyAlignment="1" applyProtection="1">
      <alignment horizontal="center"/>
      <protection locked="0"/>
    </xf>
    <xf numFmtId="0" fontId="9" fillId="30" borderId="18" xfId="0" applyFont="1" applyFill="1" applyBorder="1"/>
    <xf numFmtId="0" fontId="9" fillId="28" borderId="0" xfId="0" applyFont="1" applyFill="1" applyBorder="1"/>
    <xf numFmtId="0" fontId="0" fillId="28" borderId="0" xfId="0" applyFill="1" applyBorder="1"/>
    <xf numFmtId="0" fontId="10" fillId="28" borderId="0" xfId="0" applyFont="1" applyFill="1" applyBorder="1" applyAlignment="1">
      <alignment horizontal="left"/>
    </xf>
    <xf numFmtId="0" fontId="67" fillId="28" borderId="0" xfId="0" applyFont="1" applyFill="1" applyBorder="1" applyAlignment="1">
      <alignment horizontal="left"/>
    </xf>
    <xf numFmtId="0" fontId="0" fillId="28" borderId="0" xfId="0" applyFill="1" applyBorder="1" applyAlignment="1">
      <alignment horizontal="center"/>
    </xf>
    <xf numFmtId="0" fontId="55" fillId="28" borderId="0" xfId="0" applyFont="1" applyFill="1" applyBorder="1"/>
    <xf numFmtId="0" fontId="9" fillId="28" borderId="0" xfId="0" applyFont="1" applyFill="1" applyBorder="1" applyAlignment="1">
      <alignment horizontal="right"/>
    </xf>
    <xf numFmtId="0" fontId="9" fillId="28" borderId="0" xfId="0" applyFont="1" applyFill="1" applyBorder="1" applyAlignment="1">
      <alignment horizontal="center"/>
    </xf>
    <xf numFmtId="0" fontId="67" fillId="28" borderId="0" xfId="0" applyFont="1" applyFill="1" applyBorder="1" applyAlignment="1">
      <alignment horizontal="right"/>
    </xf>
    <xf numFmtId="1" fontId="9" fillId="28" borderId="0" xfId="0" applyNumberFormat="1" applyFont="1" applyFill="1" applyBorder="1"/>
    <xf numFmtId="0" fontId="9" fillId="28" borderId="0" xfId="0" applyFont="1" applyFill="1" applyBorder="1" applyAlignment="1">
      <alignment horizontal="left"/>
    </xf>
    <xf numFmtId="2" fontId="9" fillId="28" borderId="0" xfId="0" applyNumberFormat="1" applyFont="1" applyFill="1" applyBorder="1" applyAlignment="1">
      <alignment horizontal="center"/>
    </xf>
    <xf numFmtId="0" fontId="10" fillId="28" borderId="0" xfId="0" applyFont="1" applyFill="1" applyBorder="1" applyAlignment="1">
      <alignment horizontal="center"/>
    </xf>
    <xf numFmtId="1" fontId="9" fillId="28" borderId="0" xfId="0" applyNumberFormat="1" applyFont="1" applyFill="1" applyBorder="1" applyAlignment="1">
      <alignment horizontal="center"/>
    </xf>
    <xf numFmtId="0" fontId="37" fillId="32" borderId="0" xfId="0" applyFont="1" applyFill="1" applyProtection="1">
      <protection locked="0"/>
    </xf>
    <xf numFmtId="0" fontId="37" fillId="28" borderId="0" xfId="0" applyFont="1" applyFill="1" applyBorder="1"/>
    <xf numFmtId="0" fontId="37" fillId="0" borderId="0" xfId="0" applyFont="1"/>
    <xf numFmtId="0" fontId="37" fillId="30" borderId="12" xfId="0" applyFont="1" applyFill="1" applyBorder="1" applyAlignment="1" applyProtection="1">
      <alignment horizontal="center"/>
    </xf>
    <xf numFmtId="14" fontId="49" fillId="27" borderId="28" xfId="86" applyNumberFormat="1" applyFont="1" applyFill="1" applyBorder="1" applyAlignment="1" applyProtection="1">
      <alignment horizontal="center"/>
    </xf>
    <xf numFmtId="0" fontId="7" fillId="27" borderId="12" xfId="86" applyFill="1" applyBorder="1" applyAlignment="1" applyProtection="1">
      <alignment horizontal="center"/>
    </xf>
    <xf numFmtId="0" fontId="7" fillId="27" borderId="28" xfId="86" applyFill="1" applyBorder="1" applyAlignment="1" applyProtection="1">
      <alignment horizontal="center"/>
    </xf>
    <xf numFmtId="0" fontId="10" fillId="0" borderId="49" xfId="0" applyFont="1" applyBorder="1" applyProtection="1">
      <protection locked="0"/>
    </xf>
    <xf numFmtId="0" fontId="10" fillId="30" borderId="49" xfId="0" applyFont="1" applyFill="1" applyBorder="1" applyProtection="1">
      <protection locked="0"/>
    </xf>
    <xf numFmtId="0" fontId="10" fillId="30" borderId="0" xfId="0" applyFont="1" applyFill="1" applyBorder="1" applyProtection="1">
      <protection locked="0"/>
    </xf>
    <xf numFmtId="1" fontId="0" fillId="28" borderId="0" xfId="0" applyNumberFormat="1" applyFill="1" applyBorder="1" applyAlignment="1">
      <alignment horizontal="center"/>
    </xf>
    <xf numFmtId="166" fontId="0" fillId="28" borderId="0" xfId="0" applyNumberFormat="1" applyFill="1" applyBorder="1" applyAlignment="1">
      <alignment horizontal="center"/>
    </xf>
    <xf numFmtId="0" fontId="10" fillId="28" borderId="0" xfId="0" applyFont="1" applyFill="1" applyBorder="1" applyProtection="1">
      <protection locked="0"/>
    </xf>
    <xf numFmtId="166" fontId="9" fillId="28" borderId="0" xfId="0" applyNumberFormat="1" applyFont="1" applyFill="1" applyBorder="1" applyAlignment="1" applyProtection="1">
      <alignment horizontal="center"/>
      <protection locked="0"/>
    </xf>
    <xf numFmtId="164" fontId="9" fillId="28" borderId="0" xfId="0" applyNumberFormat="1" applyFont="1" applyFill="1" applyBorder="1" applyAlignment="1" applyProtection="1">
      <alignment horizontal="center"/>
      <protection locked="0"/>
    </xf>
    <xf numFmtId="0" fontId="9" fillId="28" borderId="0" xfId="0" applyFont="1" applyFill="1" applyBorder="1" applyProtection="1">
      <protection locked="0"/>
    </xf>
    <xf numFmtId="1" fontId="9" fillId="28" borderId="0" xfId="0" applyNumberFormat="1" applyFont="1" applyFill="1" applyBorder="1" applyAlignment="1" applyProtection="1">
      <alignment horizontal="center"/>
      <protection locked="0"/>
    </xf>
    <xf numFmtId="0" fontId="0" fillId="28" borderId="0" xfId="0" applyFill="1" applyBorder="1" applyProtection="1">
      <protection locked="0"/>
    </xf>
    <xf numFmtId="0" fontId="10" fillId="28" borderId="0" xfId="0" applyFont="1" applyFill="1" applyBorder="1"/>
    <xf numFmtId="1" fontId="0" fillId="28" borderId="0" xfId="0" applyNumberFormat="1" applyFill="1" applyBorder="1"/>
    <xf numFmtId="16" fontId="31" fillId="0" borderId="0" xfId="0" applyNumberFormat="1" applyFont="1"/>
    <xf numFmtId="0" fontId="35" fillId="28" borderId="0" xfId="0" applyFont="1" applyFill="1" applyBorder="1"/>
    <xf numFmtId="0" fontId="10" fillId="28" borderId="0" xfId="0" applyNumberFormat="1" applyFont="1" applyFill="1" applyBorder="1" applyAlignment="1">
      <alignment horizontal="center"/>
    </xf>
    <xf numFmtId="2" fontId="0" fillId="28" borderId="0" xfId="0" applyNumberFormat="1" applyFill="1" applyBorder="1" applyAlignment="1">
      <alignment horizontal="center"/>
    </xf>
    <xf numFmtId="10" fontId="0" fillId="28" borderId="0" xfId="0" applyNumberFormat="1" applyFill="1" applyBorder="1" applyAlignment="1">
      <alignment horizontal="center"/>
    </xf>
    <xf numFmtId="16" fontId="65" fillId="28" borderId="0" xfId="0" applyNumberFormat="1" applyFont="1" applyFill="1" applyBorder="1"/>
    <xf numFmtId="10" fontId="0" fillId="28" borderId="0" xfId="0" applyNumberFormat="1" applyFill="1" applyBorder="1"/>
    <xf numFmtId="1" fontId="55" fillId="28" borderId="0" xfId="0" applyNumberFormat="1" applyFont="1" applyFill="1" applyBorder="1" applyAlignment="1">
      <alignment horizontal="center"/>
    </xf>
    <xf numFmtId="0" fontId="55" fillId="28" borderId="0" xfId="0" applyFont="1" applyFill="1" applyBorder="1" applyAlignment="1">
      <alignment horizontal="center"/>
    </xf>
    <xf numFmtId="2" fontId="9" fillId="28" borderId="0" xfId="0" applyNumberFormat="1" applyFont="1" applyFill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2" fontId="13" fillId="31" borderId="12" xfId="0" applyNumberFormat="1" applyFont="1" applyFill="1" applyBorder="1" applyAlignment="1" applyProtection="1">
      <alignment horizontal="center"/>
    </xf>
    <xf numFmtId="0" fontId="13" fillId="32" borderId="0" xfId="0" applyFont="1" applyFill="1" applyBorder="1" applyAlignment="1" applyProtection="1">
      <alignment horizontal="center"/>
    </xf>
    <xf numFmtId="166" fontId="13" fillId="30" borderId="0" xfId="0" applyNumberFormat="1" applyFont="1" applyFill="1" applyBorder="1" applyProtection="1">
      <protection locked="0"/>
    </xf>
    <xf numFmtId="0" fontId="13" fillId="30" borderId="48" xfId="0" applyFont="1" applyFill="1" applyBorder="1" applyAlignment="1" applyProtection="1">
      <alignment horizontal="left"/>
      <protection locked="0"/>
    </xf>
    <xf numFmtId="0" fontId="13" fillId="30" borderId="49" xfId="0" applyFont="1" applyFill="1" applyBorder="1" applyAlignment="1" applyProtection="1">
      <alignment horizontal="left"/>
      <protection locked="0"/>
    </xf>
    <xf numFmtId="0" fontId="13" fillId="30" borderId="50" xfId="0" applyFont="1" applyFill="1" applyBorder="1" applyAlignment="1" applyProtection="1">
      <alignment horizontal="left"/>
      <protection locked="0"/>
    </xf>
    <xf numFmtId="166" fontId="13" fillId="30" borderId="31" xfId="0" applyNumberFormat="1" applyFont="1" applyFill="1" applyBorder="1" applyProtection="1">
      <protection locked="0"/>
    </xf>
    <xf numFmtId="49" fontId="13" fillId="3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32" fillId="32" borderId="0" xfId="0" applyFont="1" applyFill="1" applyProtection="1"/>
    <xf numFmtId="0" fontId="13" fillId="32" borderId="0" xfId="0" applyFont="1" applyFill="1" applyAlignment="1" applyProtection="1">
      <alignment horizontal="center"/>
    </xf>
    <xf numFmtId="0" fontId="32" fillId="32" borderId="0" xfId="0" applyFont="1" applyFill="1" applyAlignment="1" applyProtection="1">
      <alignment horizontal="right"/>
    </xf>
    <xf numFmtId="21" fontId="0" fillId="32" borderId="0" xfId="0" applyNumberFormat="1" applyFill="1" applyProtection="1"/>
    <xf numFmtId="0" fontId="0" fillId="28" borderId="0" xfId="0" applyFill="1" applyBorder="1" applyAlignment="1"/>
    <xf numFmtId="0" fontId="9" fillId="28" borderId="0" xfId="0" applyFont="1" applyFill="1" applyBorder="1" applyAlignment="1" applyProtection="1">
      <protection locked="0"/>
    </xf>
    <xf numFmtId="0" fontId="13" fillId="32" borderId="0" xfId="0" applyFont="1" applyFill="1" applyBorder="1" applyAlignment="1" applyProtection="1">
      <alignment horizontal="center"/>
    </xf>
    <xf numFmtId="0" fontId="0" fillId="32" borderId="0" xfId="0" applyFill="1" applyAlignment="1" applyProtection="1">
      <alignment horizontal="center"/>
    </xf>
    <xf numFmtId="0" fontId="0" fillId="0" borderId="0" xfId="0" applyBorder="1" applyAlignment="1">
      <alignment horizontal="center"/>
    </xf>
    <xf numFmtId="0" fontId="67" fillId="0" borderId="0" xfId="0" applyNumberFormat="1" applyFont="1" applyAlignment="1">
      <alignment horizontal="center"/>
    </xf>
    <xf numFmtId="0" fontId="41" fillId="28" borderId="0" xfId="0" applyFont="1" applyFill="1" applyBorder="1" applyProtection="1"/>
    <xf numFmtId="1" fontId="13" fillId="28" borderId="0" xfId="0" applyNumberFormat="1" applyFont="1" applyFill="1" applyBorder="1" applyAlignment="1" applyProtection="1">
      <alignment horizontal="center"/>
    </xf>
    <xf numFmtId="166" fontId="13" fillId="28" borderId="0" xfId="0" applyNumberFormat="1" applyFont="1" applyFill="1" applyBorder="1" applyAlignment="1" applyProtection="1">
      <alignment horizontal="center"/>
    </xf>
    <xf numFmtId="0" fontId="9" fillId="28" borderId="0" xfId="0" applyFont="1" applyFill="1" applyBorder="1" applyProtection="1"/>
    <xf numFmtId="0" fontId="9" fillId="31" borderId="12" xfId="0" applyFont="1" applyFill="1" applyBorder="1" applyAlignment="1" applyProtection="1">
      <alignment horizontal="center"/>
    </xf>
    <xf numFmtId="0" fontId="9" fillId="28" borderId="0" xfId="0" applyFont="1" applyFill="1" applyBorder="1" applyAlignment="1" applyProtection="1">
      <alignment horizontal="center"/>
    </xf>
    <xf numFmtId="0" fontId="10" fillId="28" borderId="0" xfId="0" applyFont="1" applyFill="1" applyBorder="1" applyProtection="1"/>
    <xf numFmtId="0" fontId="72" fillId="0" borderId="0" xfId="0" applyFont="1" applyBorder="1"/>
    <xf numFmtId="1" fontId="73" fillId="0" borderId="0" xfId="0" applyNumberFormat="1" applyFont="1" applyBorder="1"/>
    <xf numFmtId="0" fontId="37" fillId="0" borderId="0" xfId="0" applyNumberFormat="1" applyFont="1" applyBorder="1" applyProtection="1"/>
    <xf numFmtId="0" fontId="10" fillId="25" borderId="25" xfId="0" applyNumberFormat="1" applyFont="1" applyFill="1" applyBorder="1" applyAlignment="1" applyProtection="1">
      <alignment horizontal="center"/>
      <protection locked="0"/>
    </xf>
    <xf numFmtId="14" fontId="37" fillId="0" borderId="0" xfId="0" applyNumberFormat="1" applyFont="1" applyBorder="1" applyAlignment="1" applyProtection="1">
      <alignment horizontal="left" vertical="center"/>
    </xf>
    <xf numFmtId="164" fontId="9" fillId="30" borderId="19" xfId="0" applyNumberFormat="1" applyFont="1" applyFill="1" applyBorder="1" applyAlignment="1" applyProtection="1">
      <alignment horizontal="left"/>
      <protection locked="0"/>
    </xf>
    <xf numFmtId="0" fontId="9" fillId="0" borderId="56" xfId="0" applyFont="1" applyBorder="1" applyProtection="1">
      <protection locked="0"/>
    </xf>
    <xf numFmtId="0" fontId="0" fillId="0" borderId="0" xfId="0" applyProtection="1">
      <protection locked="0"/>
    </xf>
    <xf numFmtId="21" fontId="0" fillId="33" borderId="53" xfId="0" applyNumberFormat="1" applyFill="1" applyBorder="1" applyProtection="1"/>
    <xf numFmtId="0" fontId="10" fillId="28" borderId="22" xfId="0" applyFont="1" applyFill="1" applyBorder="1" applyProtection="1"/>
    <xf numFmtId="0" fontId="10" fillId="0" borderId="0" xfId="0" applyFont="1" applyBorder="1" applyProtection="1"/>
    <xf numFmtId="0" fontId="60" fillId="0" borderId="59" xfId="0" applyFont="1" applyBorder="1" applyProtection="1"/>
    <xf numFmtId="0" fontId="9" fillId="30" borderId="44" xfId="0" applyFont="1" applyFill="1" applyBorder="1" applyProtection="1"/>
    <xf numFmtId="0" fontId="9" fillId="0" borderId="44" xfId="0" applyFont="1" applyBorder="1" applyProtection="1"/>
    <xf numFmtId="0" fontId="10" fillId="0" borderId="44" xfId="0" applyFont="1" applyBorder="1" applyProtection="1"/>
    <xf numFmtId="0" fontId="10" fillId="0" borderId="45" xfId="0" applyFont="1" applyBorder="1" applyProtection="1"/>
    <xf numFmtId="0" fontId="10" fillId="28" borderId="34" xfId="0" applyFont="1" applyFill="1" applyBorder="1" applyProtection="1"/>
    <xf numFmtId="0" fontId="9" fillId="0" borderId="60" xfId="0" applyFont="1" applyBorder="1" applyProtection="1"/>
    <xf numFmtId="0" fontId="10" fillId="0" borderId="21" xfId="0" applyFont="1" applyBorder="1" applyProtection="1"/>
    <xf numFmtId="0" fontId="10" fillId="28" borderId="24" xfId="0" applyFont="1" applyFill="1" applyBorder="1" applyProtection="1"/>
    <xf numFmtId="0" fontId="9" fillId="29" borderId="0" xfId="0" applyFont="1" applyFill="1" applyBorder="1" applyProtection="1"/>
    <xf numFmtId="0" fontId="9" fillId="35" borderId="0" xfId="0" applyFont="1" applyFill="1" applyBorder="1" applyProtection="1"/>
    <xf numFmtId="0" fontId="9" fillId="0" borderId="61" xfId="0" applyFont="1" applyBorder="1" applyProtection="1"/>
    <xf numFmtId="0" fontId="9" fillId="0" borderId="10" xfId="0" applyFont="1" applyBorder="1" applyProtection="1"/>
    <xf numFmtId="0" fontId="10" fillId="0" borderId="10" xfId="0" applyFont="1" applyBorder="1" applyProtection="1"/>
    <xf numFmtId="0" fontId="10" fillId="0" borderId="37" xfId="0" applyFont="1" applyBorder="1" applyProtection="1"/>
    <xf numFmtId="0" fontId="10" fillId="0" borderId="60" xfId="0" applyFont="1" applyBorder="1" applyProtection="1"/>
    <xf numFmtId="0" fontId="10" fillId="0" borderId="24" xfId="0" applyFont="1" applyFill="1" applyBorder="1" applyProtection="1"/>
    <xf numFmtId="0" fontId="10" fillId="0" borderId="27" xfId="0" applyFont="1" applyFill="1" applyBorder="1" applyProtection="1"/>
    <xf numFmtId="21" fontId="10" fillId="0" borderId="0" xfId="0" applyNumberFormat="1" applyFont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/>
    <xf numFmtId="0" fontId="10" fillId="0" borderId="61" xfId="0" applyFont="1" applyBorder="1" applyProtection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 indent="4"/>
    </xf>
    <xf numFmtId="0" fontId="9" fillId="0" borderId="0" xfId="0" applyFont="1" applyBorder="1" applyAlignment="1" applyProtection="1">
      <alignment horizontal="left" vertical="center" indent="4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center" indent="8"/>
    </xf>
    <xf numFmtId="49" fontId="9" fillId="0" borderId="0" xfId="0" applyNumberFormat="1" applyFont="1" applyBorder="1" applyAlignment="1" applyProtection="1">
      <alignment horizontal="left" vertical="center" indent="4"/>
    </xf>
    <xf numFmtId="0" fontId="9" fillId="0" borderId="0" xfId="0" applyFont="1" applyBorder="1" applyAlignment="1" applyProtection="1">
      <alignment horizontal="left" vertical="center" indent="12"/>
    </xf>
    <xf numFmtId="0" fontId="10" fillId="0" borderId="0" xfId="0" applyFont="1" applyBorder="1" applyAlignment="1" applyProtection="1">
      <alignment horizontal="left" vertical="center" indent="2"/>
    </xf>
    <xf numFmtId="0" fontId="60" fillId="0" borderId="0" xfId="0" applyFont="1" applyBorder="1" applyAlignment="1" applyProtection="1">
      <alignment horizontal="left" vertical="center" indent="2"/>
    </xf>
    <xf numFmtId="0" fontId="10" fillId="0" borderId="0" xfId="0" applyFont="1" applyBorder="1" applyAlignment="1" applyProtection="1">
      <alignment horizontal="left" vertical="center" indent="12"/>
    </xf>
    <xf numFmtId="0" fontId="10" fillId="0" borderId="44" xfId="0" applyFont="1" applyFill="1" applyBorder="1" applyAlignment="1" applyProtection="1">
      <alignment horizontal="left"/>
    </xf>
    <xf numFmtId="0" fontId="10" fillId="0" borderId="17" xfId="0" applyFont="1" applyBorder="1" applyProtection="1"/>
    <xf numFmtId="0" fontId="9" fillId="0" borderId="17" xfId="0" applyFont="1" applyBorder="1" applyProtection="1"/>
    <xf numFmtId="0" fontId="75" fillId="0" borderId="17" xfId="0" applyFont="1" applyBorder="1" applyProtection="1"/>
    <xf numFmtId="0" fontId="74" fillId="0" borderId="17" xfId="0" applyFont="1" applyBorder="1" applyProtection="1"/>
    <xf numFmtId="0" fontId="10" fillId="0" borderId="32" xfId="0" applyFont="1" applyBorder="1" applyProtection="1"/>
    <xf numFmtId="0" fontId="10" fillId="30" borderId="62" xfId="0" applyFont="1" applyFill="1" applyBorder="1" applyProtection="1">
      <protection locked="0"/>
    </xf>
    <xf numFmtId="0" fontId="10" fillId="30" borderId="44" xfId="0" applyFont="1" applyFill="1" applyBorder="1" applyProtection="1">
      <protection locked="0"/>
    </xf>
    <xf numFmtId="0" fontId="10" fillId="30" borderId="45" xfId="0" applyFont="1" applyFill="1" applyBorder="1" applyProtection="1">
      <protection locked="0"/>
    </xf>
    <xf numFmtId="0" fontId="10" fillId="30" borderId="21" xfId="0" applyFont="1" applyFill="1" applyBorder="1" applyProtection="1">
      <protection locked="0"/>
    </xf>
    <xf numFmtId="0" fontId="10" fillId="30" borderId="57" xfId="0" applyFont="1" applyFill="1" applyBorder="1" applyProtection="1">
      <protection locked="0"/>
    </xf>
    <xf numFmtId="0" fontId="10" fillId="30" borderId="10" xfId="0" applyFont="1" applyFill="1" applyBorder="1" applyProtection="1">
      <protection locked="0"/>
    </xf>
    <xf numFmtId="0" fontId="10" fillId="30" borderId="37" xfId="0" applyFont="1" applyFill="1" applyBorder="1" applyProtection="1">
      <protection locked="0"/>
    </xf>
    <xf numFmtId="0" fontId="76" fillId="0" borderId="43" xfId="0" applyFont="1" applyBorder="1" applyProtection="1"/>
    <xf numFmtId="0" fontId="9" fillId="34" borderId="19" xfId="0" applyFont="1" applyFill="1" applyBorder="1" applyProtection="1"/>
    <xf numFmtId="0" fontId="9" fillId="34" borderId="20" xfId="0" applyFont="1" applyFill="1" applyBorder="1" applyProtection="1"/>
    <xf numFmtId="0" fontId="9" fillId="32" borderId="0" xfId="0" applyFont="1" applyFill="1" applyBorder="1" applyProtection="1"/>
    <xf numFmtId="0" fontId="9" fillId="28" borderId="0" xfId="0" applyFont="1" applyFill="1" applyBorder="1" applyAlignment="1" applyProtection="1">
      <alignment horizontal="left"/>
    </xf>
    <xf numFmtId="0" fontId="60" fillId="0" borderId="43" xfId="0" applyFont="1" applyBorder="1" applyProtection="1"/>
    <xf numFmtId="0" fontId="10" fillId="0" borderId="43" xfId="0" applyFont="1" applyBorder="1" applyProtection="1"/>
    <xf numFmtId="0" fontId="13" fillId="32" borderId="0" xfId="0" applyFont="1" applyFill="1" applyBorder="1" applyAlignment="1" applyProtection="1">
      <alignment horizontal="center"/>
    </xf>
    <xf numFmtId="0" fontId="13" fillId="0" borderId="0" xfId="0" applyFont="1" applyAlignment="1"/>
    <xf numFmtId="2" fontId="13" fillId="32" borderId="49" xfId="0" applyNumberFormat="1" applyFont="1" applyFill="1" applyBorder="1" applyAlignment="1" applyProtection="1">
      <alignment horizontal="center"/>
    </xf>
    <xf numFmtId="0" fontId="13" fillId="32" borderId="46" xfId="0" applyFont="1" applyFill="1" applyBorder="1" applyAlignment="1" applyProtection="1">
      <alignment horizontal="center"/>
    </xf>
    <xf numFmtId="0" fontId="13" fillId="32" borderId="50" xfId="0" applyFont="1" applyFill="1" applyBorder="1" applyAlignment="1" applyProtection="1">
      <alignment horizontal="left"/>
    </xf>
    <xf numFmtId="1" fontId="13" fillId="32" borderId="0" xfId="0" applyNumberFormat="1" applyFont="1" applyFill="1" applyBorder="1" applyAlignment="1" applyProtection="1">
      <alignment horizontal="center"/>
    </xf>
    <xf numFmtId="0" fontId="13" fillId="32" borderId="49" xfId="88" applyFont="1" applyFill="1" applyBorder="1" applyProtection="1"/>
    <xf numFmtId="1" fontId="13" fillId="32" borderId="49" xfId="88" applyNumberFormat="1" applyFont="1" applyFill="1" applyBorder="1" applyAlignment="1" applyProtection="1">
      <alignment horizontal="center"/>
    </xf>
    <xf numFmtId="166" fontId="13" fillId="30" borderId="12" xfId="88" applyNumberFormat="1" applyFont="1" applyFill="1" applyBorder="1" applyAlignment="1" applyProtection="1">
      <alignment horizontal="center"/>
      <protection locked="0"/>
    </xf>
    <xf numFmtId="0" fontId="9" fillId="30" borderId="0" xfId="0" applyFont="1" applyFill="1" applyBorder="1" applyProtection="1"/>
    <xf numFmtId="0" fontId="13" fillId="30" borderId="0" xfId="0" applyFont="1" applyFill="1" applyBorder="1" applyProtection="1"/>
    <xf numFmtId="0" fontId="13" fillId="30" borderId="45" xfId="0" applyFont="1" applyFill="1" applyBorder="1" applyProtection="1"/>
    <xf numFmtId="0" fontId="13" fillId="30" borderId="21" xfId="0" applyFont="1" applyFill="1" applyBorder="1" applyProtection="1"/>
    <xf numFmtId="0" fontId="13" fillId="30" borderId="37" xfId="0" applyFont="1" applyFill="1" applyBorder="1" applyProtection="1"/>
    <xf numFmtId="0" fontId="13" fillId="32" borderId="17" xfId="0" applyFont="1" applyFill="1" applyBorder="1" applyProtection="1"/>
    <xf numFmtId="0" fontId="13" fillId="32" borderId="21" xfId="0" applyFont="1" applyFill="1" applyBorder="1" applyProtection="1"/>
    <xf numFmtId="0" fontId="13" fillId="32" borderId="37" xfId="0" applyFont="1" applyFill="1" applyBorder="1" applyProtection="1"/>
    <xf numFmtId="0" fontId="10" fillId="32" borderId="0" xfId="0" applyFont="1" applyFill="1" applyProtection="1"/>
    <xf numFmtId="0" fontId="10" fillId="32" borderId="0" xfId="0" applyFont="1" applyFill="1" applyAlignment="1" applyProtection="1">
      <alignment horizontal="center"/>
    </xf>
    <xf numFmtId="0" fontId="10" fillId="32" borderId="0" xfId="0" applyFont="1" applyFill="1" applyProtection="1">
      <protection locked="0"/>
    </xf>
    <xf numFmtId="0" fontId="32" fillId="30" borderId="0" xfId="0" applyFont="1" applyFill="1" applyBorder="1" applyProtection="1">
      <protection locked="0"/>
    </xf>
    <xf numFmtId="0" fontId="60" fillId="0" borderId="0" xfId="0" applyFont="1" applyBorder="1"/>
    <xf numFmtId="0" fontId="32" fillId="30" borderId="49" xfId="0" applyFont="1" applyFill="1" applyBorder="1" applyProtection="1">
      <protection locked="0"/>
    </xf>
    <xf numFmtId="0" fontId="60" fillId="0" borderId="0" xfId="0" applyFont="1"/>
    <xf numFmtId="0" fontId="9" fillId="32" borderId="0" xfId="0" applyFont="1" applyFill="1" applyAlignment="1" applyProtection="1">
      <alignment horizontal="center"/>
    </xf>
    <xf numFmtId="0" fontId="9" fillId="34" borderId="12" xfId="0" applyFont="1" applyFill="1" applyBorder="1" applyAlignment="1" applyProtection="1">
      <alignment horizontal="center"/>
    </xf>
    <xf numFmtId="2" fontId="9" fillId="33" borderId="53" xfId="0" applyNumberFormat="1" applyFont="1" applyFill="1" applyBorder="1" applyProtection="1"/>
    <xf numFmtId="0" fontId="9" fillId="32" borderId="0" xfId="0" applyFont="1" applyFill="1" applyProtection="1">
      <protection locked="0"/>
    </xf>
    <xf numFmtId="0" fontId="9" fillId="32" borderId="0" xfId="0" applyFont="1" applyFill="1" applyAlignment="1" applyProtection="1">
      <alignment horizontal="center"/>
      <protection locked="0"/>
    </xf>
    <xf numFmtId="0" fontId="13" fillId="32" borderId="0" xfId="0" applyFont="1" applyFill="1" applyBorder="1" applyAlignment="1" applyProtection="1">
      <alignment horizontal="center"/>
    </xf>
    <xf numFmtId="0" fontId="9" fillId="0" borderId="0" xfId="88" applyFont="1"/>
    <xf numFmtId="0" fontId="9" fillId="0" borderId="0" xfId="88"/>
    <xf numFmtId="0" fontId="0" fillId="0" borderId="17" xfId="0" applyBorder="1"/>
    <xf numFmtId="0" fontId="0" fillId="0" borderId="21" xfId="0" applyBorder="1"/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32" xfId="0" applyBorder="1"/>
    <xf numFmtId="0" fontId="0" fillId="0" borderId="10" xfId="0" applyBorder="1"/>
    <xf numFmtId="0" fontId="0" fillId="0" borderId="37" xfId="0" applyBorder="1"/>
    <xf numFmtId="0" fontId="9" fillId="0" borderId="17" xfId="0" applyFont="1" applyBorder="1" applyAlignment="1">
      <alignment horizontal="left" vertical="center"/>
    </xf>
    <xf numFmtId="0" fontId="9" fillId="0" borderId="17" xfId="0" applyFont="1" applyBorder="1"/>
    <xf numFmtId="0" fontId="9" fillId="0" borderId="17" xfId="0" applyFont="1" applyFill="1" applyBorder="1"/>
    <xf numFmtId="166" fontId="55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32" fillId="28" borderId="0" xfId="0" applyFont="1" applyFill="1" applyBorder="1" applyAlignment="1" applyProtection="1">
      <alignment horizontal="center" vertical="center"/>
    </xf>
    <xf numFmtId="0" fontId="32" fillId="28" borderId="0" xfId="0" applyFont="1" applyFill="1" applyBorder="1" applyAlignment="1" applyProtection="1">
      <alignment horizontal="right"/>
    </xf>
    <xf numFmtId="0" fontId="13" fillId="28" borderId="0" xfId="0" applyFont="1" applyFill="1" applyBorder="1" applyAlignment="1" applyProtection="1">
      <alignment horizontal="center" vertical="center"/>
    </xf>
    <xf numFmtId="0" fontId="55" fillId="31" borderId="0" xfId="0" applyFont="1" applyFill="1" applyBorder="1"/>
    <xf numFmtId="0" fontId="13" fillId="32" borderId="32" xfId="0" applyFont="1" applyFill="1" applyBorder="1" applyProtection="1"/>
    <xf numFmtId="0" fontId="13" fillId="30" borderId="44" xfId="0" applyFont="1" applyFill="1" applyBorder="1" applyProtection="1"/>
    <xf numFmtId="0" fontId="32" fillId="30" borderId="17" xfId="0" applyFont="1" applyFill="1" applyBorder="1" applyProtection="1"/>
    <xf numFmtId="0" fontId="13" fillId="30" borderId="17" xfId="0" applyFont="1" applyFill="1" applyBorder="1" applyProtection="1"/>
    <xf numFmtId="0" fontId="13" fillId="30" borderId="32" xfId="0" applyFont="1" applyFill="1" applyBorder="1" applyProtection="1"/>
    <xf numFmtId="0" fontId="13" fillId="30" borderId="10" xfId="0" applyFont="1" applyFill="1" applyBorder="1" applyProtection="1"/>
    <xf numFmtId="10" fontId="13" fillId="31" borderId="0" xfId="0" applyNumberFormat="1" applyFont="1" applyFill="1" applyBorder="1" applyAlignment="1" applyProtection="1">
      <alignment horizontal="center"/>
    </xf>
    <xf numFmtId="0" fontId="32" fillId="31" borderId="0" xfId="0" applyFont="1" applyFill="1" applyBorder="1" applyAlignment="1" applyProtection="1">
      <alignment horizontal="center"/>
    </xf>
    <xf numFmtId="165" fontId="13" fillId="31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/>
    <xf numFmtId="0" fontId="32" fillId="30" borderId="43" xfId="0" applyFont="1" applyFill="1" applyBorder="1" applyProtection="1"/>
    <xf numFmtId="0" fontId="32" fillId="30" borderId="44" xfId="0" applyFont="1" applyFill="1" applyBorder="1" applyProtection="1"/>
    <xf numFmtId="0" fontId="13" fillId="31" borderId="63" xfId="0" applyFont="1" applyFill="1" applyBorder="1" applyAlignment="1" applyProtection="1">
      <alignment horizontal="center" vertical="center"/>
    </xf>
    <xf numFmtId="0" fontId="13" fillId="32" borderId="64" xfId="0" applyFont="1" applyFill="1" applyBorder="1" applyAlignment="1" applyProtection="1">
      <alignment horizontal="center" vertical="center"/>
    </xf>
    <xf numFmtId="0" fontId="70" fillId="0" borderId="0" xfId="0" applyFont="1" applyBorder="1" applyAlignment="1">
      <alignment horizontal="center"/>
    </xf>
    <xf numFmtId="0" fontId="32" fillId="30" borderId="49" xfId="0" applyFont="1" applyFill="1" applyBorder="1" applyAlignment="1" applyProtection="1">
      <alignment horizontal="left"/>
      <protection locked="0"/>
    </xf>
    <xf numFmtId="166" fontId="32" fillId="30" borderId="0" xfId="0" applyNumberFormat="1" applyFont="1" applyFill="1" applyBorder="1" applyProtection="1">
      <protection locked="0"/>
    </xf>
    <xf numFmtId="0" fontId="32" fillId="30" borderId="56" xfId="0" applyFont="1" applyFill="1" applyBorder="1" applyProtection="1">
      <protection locked="0"/>
    </xf>
    <xf numFmtId="0" fontId="13" fillId="28" borderId="0" xfId="0" applyFont="1" applyFill="1" applyProtection="1"/>
    <xf numFmtId="0" fontId="32" fillId="32" borderId="54" xfId="0" applyFont="1" applyFill="1" applyBorder="1" applyAlignment="1" applyProtection="1">
      <alignment horizontal="left" vertical="center"/>
    </xf>
    <xf numFmtId="10" fontId="13" fillId="31" borderId="0" xfId="0" applyNumberFormat="1" applyFont="1" applyFill="1" applyBorder="1" applyAlignment="1" applyProtection="1">
      <alignment vertical="center"/>
    </xf>
    <xf numFmtId="0" fontId="13" fillId="32" borderId="0" xfId="0" applyFont="1" applyFill="1" applyBorder="1" applyAlignment="1" applyProtection="1">
      <alignment vertical="center"/>
    </xf>
    <xf numFmtId="0" fontId="13" fillId="32" borderId="31" xfId="0" applyFont="1" applyFill="1" applyBorder="1" applyAlignment="1" applyProtection="1">
      <alignment vertical="center"/>
    </xf>
    <xf numFmtId="2" fontId="0" fillId="28" borderId="0" xfId="0" applyNumberFormat="1" applyFill="1" applyBorder="1" applyProtection="1"/>
    <xf numFmtId="0" fontId="0" fillId="28" borderId="0" xfId="0" applyFill="1" applyBorder="1" applyProtection="1"/>
    <xf numFmtId="165" fontId="0" fillId="28" borderId="0" xfId="0" applyNumberFormat="1" applyFill="1" applyBorder="1" applyProtection="1"/>
    <xf numFmtId="1" fontId="0" fillId="28" borderId="0" xfId="0" applyNumberFormat="1" applyFill="1" applyBorder="1" applyProtection="1"/>
    <xf numFmtId="14" fontId="0" fillId="28" borderId="0" xfId="0" applyNumberFormat="1" applyFill="1" applyBorder="1" applyProtection="1"/>
    <xf numFmtId="19" fontId="0" fillId="28" borderId="0" xfId="0" applyNumberFormat="1" applyFill="1" applyBorder="1" applyProtection="1"/>
    <xf numFmtId="0" fontId="41" fillId="28" borderId="0" xfId="0" applyFont="1" applyFill="1" applyBorder="1" applyAlignment="1" applyProtection="1"/>
    <xf numFmtId="0" fontId="41" fillId="32" borderId="0" xfId="0" applyFont="1" applyFill="1" applyBorder="1" applyAlignment="1" applyProtection="1"/>
    <xf numFmtId="0" fontId="55" fillId="0" borderId="0" xfId="0" applyFont="1" applyFill="1"/>
    <xf numFmtId="166" fontId="9" fillId="31" borderId="0" xfId="0" applyNumberFormat="1" applyFont="1" applyFill="1" applyBorder="1" applyAlignment="1">
      <alignment horizontal="center" vertical="center"/>
    </xf>
    <xf numFmtId="0" fontId="9" fillId="31" borderId="0" xfId="0" applyFont="1" applyFill="1" applyBorder="1" applyAlignment="1">
      <alignment horizontal="center" vertical="center"/>
    </xf>
    <xf numFmtId="0" fontId="13" fillId="32" borderId="0" xfId="0" applyFont="1" applyFill="1" applyBorder="1" applyAlignment="1" applyProtection="1">
      <alignment horizontal="center"/>
    </xf>
    <xf numFmtId="0" fontId="0" fillId="30" borderId="19" xfId="0" applyFill="1" applyBorder="1" applyAlignment="1" applyProtection="1">
      <protection locked="0"/>
    </xf>
    <xf numFmtId="0" fontId="0" fillId="30" borderId="20" xfId="0" applyFill="1" applyBorder="1" applyAlignment="1" applyProtection="1">
      <protection locked="0"/>
    </xf>
    <xf numFmtId="0" fontId="9" fillId="30" borderId="19" xfId="0" applyFont="1" applyFill="1" applyBorder="1" applyAlignment="1" applyProtection="1">
      <protection locked="0"/>
    </xf>
    <xf numFmtId="0" fontId="81" fillId="0" borderId="17" xfId="0" applyFont="1" applyBorder="1" applyProtection="1"/>
    <xf numFmtId="0" fontId="82" fillId="0" borderId="17" xfId="0" applyFont="1" applyBorder="1" applyProtection="1"/>
    <xf numFmtId="0" fontId="58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75" fillId="0" borderId="0" xfId="0" applyFont="1" applyBorder="1" applyProtection="1"/>
    <xf numFmtId="0" fontId="75" fillId="0" borderId="32" xfId="0" applyFont="1" applyBorder="1" applyProtection="1"/>
    <xf numFmtId="0" fontId="9" fillId="0" borderId="10" xfId="0" applyFont="1" applyBorder="1" applyAlignment="1" applyProtection="1"/>
    <xf numFmtId="0" fontId="9" fillId="0" borderId="10" xfId="0" applyFont="1" applyBorder="1" applyAlignment="1" applyProtection="1">
      <alignment horizontal="left" vertical="center" indent="12"/>
    </xf>
    <xf numFmtId="0" fontId="13" fillId="32" borderId="0" xfId="0" applyFont="1" applyFill="1" applyBorder="1" applyAlignment="1" applyProtection="1">
      <alignment horizontal="center"/>
    </xf>
    <xf numFmtId="0" fontId="9" fillId="28" borderId="0" xfId="0" applyFont="1" applyFill="1" applyBorder="1" applyAlignment="1" applyProtection="1">
      <alignment horizontal="center"/>
      <protection locked="0"/>
    </xf>
    <xf numFmtId="0" fontId="0" fillId="28" borderId="0" xfId="0" applyFill="1"/>
    <xf numFmtId="2" fontId="10" fillId="0" borderId="0" xfId="0" applyNumberFormat="1" applyFont="1" applyBorder="1"/>
    <xf numFmtId="0" fontId="0" fillId="0" borderId="14" xfId="0" applyBorder="1" applyAlignment="1">
      <alignment horizontal="center"/>
    </xf>
    <xf numFmtId="0" fontId="0" fillId="0" borderId="12" xfId="0" applyBorder="1"/>
    <xf numFmtId="0" fontId="9" fillId="32" borderId="0" xfId="0" applyFont="1" applyFill="1" applyAlignment="1" applyProtection="1">
      <alignment vertical="center"/>
    </xf>
    <xf numFmtId="0" fontId="67" fillId="0" borderId="0" xfId="0" applyFont="1"/>
    <xf numFmtId="0" fontId="83" fillId="0" borderId="0" xfId="0" applyFont="1"/>
    <xf numFmtId="0" fontId="72" fillId="0" borderId="0" xfId="0" applyFont="1" applyBorder="1" applyAlignment="1">
      <alignment horizontal="center"/>
    </xf>
    <xf numFmtId="0" fontId="55" fillId="0" borderId="0" xfId="0" applyFont="1" applyBorder="1" applyAlignment="1">
      <alignment horizontal="right" vertical="top"/>
    </xf>
    <xf numFmtId="0" fontId="13" fillId="27" borderId="65" xfId="0" applyFont="1" applyFill="1" applyBorder="1" applyProtection="1"/>
    <xf numFmtId="0" fontId="13" fillId="30" borderId="0" xfId="0" applyFont="1" applyFill="1" applyProtection="1"/>
    <xf numFmtId="0" fontId="79" fillId="28" borderId="0" xfId="0" applyFont="1" applyFill="1" applyBorder="1" applyProtection="1">
      <protection locked="0"/>
    </xf>
    <xf numFmtId="0" fontId="13" fillId="28" borderId="0" xfId="0" applyFont="1" applyFill="1" applyBorder="1" applyAlignment="1" applyProtection="1">
      <alignment horizontal="center" wrapText="1"/>
    </xf>
    <xf numFmtId="0" fontId="13" fillId="28" borderId="0" xfId="0" applyFont="1" applyFill="1" applyBorder="1" applyAlignment="1" applyProtection="1">
      <alignment vertical="top" wrapText="1"/>
    </xf>
    <xf numFmtId="0" fontId="41" fillId="30" borderId="0" xfId="0" applyFont="1" applyFill="1" applyProtection="1"/>
    <xf numFmtId="0" fontId="41" fillId="30" borderId="0" xfId="0" applyFont="1" applyFill="1" applyAlignment="1" applyProtection="1"/>
    <xf numFmtId="0" fontId="13" fillId="30" borderId="12" xfId="0" applyFont="1" applyFill="1" applyBorder="1" applyProtection="1"/>
    <xf numFmtId="0" fontId="55" fillId="30" borderId="12" xfId="0" applyFont="1" applyFill="1" applyBorder="1" applyProtection="1">
      <protection locked="0"/>
    </xf>
    <xf numFmtId="0" fontId="9" fillId="30" borderId="12" xfId="0" applyFont="1" applyFill="1" applyBorder="1" applyProtection="1">
      <protection locked="0"/>
    </xf>
    <xf numFmtId="0" fontId="10" fillId="30" borderId="12" xfId="0" applyFont="1" applyFill="1" applyBorder="1" applyAlignment="1" applyProtection="1">
      <alignment horizontal="left" vertical="top" wrapText="1"/>
    </xf>
    <xf numFmtId="0" fontId="10" fillId="30" borderId="12" xfId="0" applyFont="1" applyFill="1" applyBorder="1" applyAlignment="1" applyProtection="1">
      <alignment horizontal="left" vertical="top"/>
    </xf>
    <xf numFmtId="0" fontId="13" fillId="30" borderId="0" xfId="0" applyFont="1" applyFill="1" applyBorder="1" applyAlignment="1" applyProtection="1">
      <alignment vertical="top" wrapText="1"/>
    </xf>
    <xf numFmtId="0" fontId="13" fillId="30" borderId="19" xfId="0" applyFont="1" applyFill="1" applyBorder="1" applyProtection="1"/>
    <xf numFmtId="0" fontId="13" fillId="30" borderId="19" xfId="0" applyFont="1" applyFill="1" applyBorder="1" applyAlignment="1" applyProtection="1">
      <alignment vertical="top" wrapText="1"/>
    </xf>
    <xf numFmtId="0" fontId="13" fillId="30" borderId="20" xfId="0" applyFont="1" applyFill="1" applyBorder="1" applyAlignment="1" applyProtection="1">
      <alignment vertical="top" wrapText="1"/>
    </xf>
    <xf numFmtId="0" fontId="13" fillId="30" borderId="20" xfId="0" applyFont="1" applyFill="1" applyBorder="1" applyProtection="1"/>
    <xf numFmtId="2" fontId="49" fillId="27" borderId="29" xfId="86" applyNumberFormat="1" applyFont="1" applyFill="1" applyBorder="1" applyAlignment="1" applyProtection="1">
      <alignment horizontal="center"/>
    </xf>
    <xf numFmtId="0" fontId="84" fillId="0" borderId="0" xfId="0" applyFont="1"/>
    <xf numFmtId="1" fontId="85" fillId="0" borderId="0" xfId="0" applyNumberFormat="1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9" fillId="29" borderId="30" xfId="0" applyFont="1" applyFill="1" applyBorder="1"/>
    <xf numFmtId="0" fontId="9" fillId="29" borderId="19" xfId="0" applyFont="1" applyFill="1" applyBorder="1"/>
    <xf numFmtId="0" fontId="9" fillId="29" borderId="20" xfId="0" applyFont="1" applyFill="1" applyBorder="1"/>
    <xf numFmtId="0" fontId="9" fillId="29" borderId="60" xfId="0" applyFont="1" applyFill="1" applyBorder="1"/>
    <xf numFmtId="0" fontId="9" fillId="29" borderId="0" xfId="0" applyFont="1" applyFill="1" applyBorder="1" applyAlignment="1">
      <alignment horizontal="center"/>
    </xf>
    <xf numFmtId="14" fontId="0" fillId="29" borderId="21" xfId="0" applyNumberFormat="1" applyFill="1" applyBorder="1" applyAlignment="1">
      <alignment horizontal="center"/>
    </xf>
    <xf numFmtId="14" fontId="9" fillId="29" borderId="21" xfId="0" applyNumberFormat="1" applyFont="1" applyFill="1" applyBorder="1" applyAlignment="1">
      <alignment horizontal="center"/>
    </xf>
    <xf numFmtId="0" fontId="9" fillId="29" borderId="0" xfId="0" applyFont="1" applyFill="1" applyBorder="1" applyAlignment="1" applyProtection="1">
      <alignment horizontal="center"/>
      <protection locked="0"/>
    </xf>
    <xf numFmtId="0" fontId="9" fillId="29" borderId="0" xfId="0" applyNumberFormat="1" applyFont="1" applyFill="1" applyBorder="1" applyAlignment="1" applyProtection="1">
      <alignment horizontal="center"/>
    </xf>
    <xf numFmtId="14" fontId="9" fillId="29" borderId="21" xfId="0" applyNumberFormat="1" applyFont="1" applyFill="1" applyBorder="1" applyAlignment="1" applyProtection="1">
      <alignment horizontal="center"/>
      <protection locked="0"/>
    </xf>
    <xf numFmtId="0" fontId="9" fillId="29" borderId="0" xfId="0" applyNumberFormat="1" applyFont="1" applyFill="1" applyBorder="1" applyAlignment="1">
      <alignment horizontal="center"/>
    </xf>
    <xf numFmtId="0" fontId="9" fillId="29" borderId="61" xfId="0" applyFont="1" applyFill="1" applyBorder="1"/>
    <xf numFmtId="0" fontId="9" fillId="29" borderId="10" xfId="0" applyNumberFormat="1" applyFont="1" applyFill="1" applyBorder="1" applyAlignment="1">
      <alignment horizontal="center"/>
    </xf>
    <xf numFmtId="0" fontId="9" fillId="29" borderId="10" xfId="0" applyNumberFormat="1" applyFont="1" applyFill="1" applyBorder="1" applyAlignment="1" applyProtection="1">
      <alignment horizontal="center"/>
    </xf>
    <xf numFmtId="14" fontId="9" fillId="29" borderId="37" xfId="0" applyNumberFormat="1" applyFont="1" applyFill="1" applyBorder="1" applyAlignment="1">
      <alignment horizontal="center"/>
    </xf>
    <xf numFmtId="0" fontId="10" fillId="30" borderId="12" xfId="0" applyFont="1" applyFill="1" applyBorder="1" applyAlignment="1" applyProtection="1">
      <alignment horizontal="left" vertical="top"/>
    </xf>
    <xf numFmtId="0" fontId="10" fillId="30" borderId="26" xfId="0" applyFont="1" applyFill="1" applyBorder="1" applyAlignment="1" applyProtection="1">
      <alignment horizontal="left" vertical="top"/>
    </xf>
    <xf numFmtId="0" fontId="10" fillId="30" borderId="11" xfId="0" applyFont="1" applyFill="1" applyBorder="1" applyAlignment="1" applyProtection="1">
      <alignment horizontal="left" vertical="top"/>
    </xf>
    <xf numFmtId="0" fontId="10" fillId="30" borderId="15" xfId="0" applyFont="1" applyFill="1" applyBorder="1" applyAlignment="1" applyProtection="1">
      <alignment horizontal="left" vertical="top"/>
    </xf>
    <xf numFmtId="0" fontId="13" fillId="30" borderId="12" xfId="0" applyFont="1" applyFill="1" applyBorder="1" applyAlignment="1" applyProtection="1">
      <alignment horizontal="left" vertical="top" wrapText="1"/>
    </xf>
    <xf numFmtId="0" fontId="13" fillId="30" borderId="25" xfId="0" applyFont="1" applyFill="1" applyBorder="1" applyAlignment="1" applyProtection="1">
      <alignment horizontal="left" vertical="top" wrapText="1"/>
    </xf>
    <xf numFmtId="0" fontId="13" fillId="30" borderId="12" xfId="0" applyFont="1" applyFill="1" applyBorder="1" applyAlignment="1" applyProtection="1">
      <alignment horizontal="left" vertical="top"/>
    </xf>
    <xf numFmtId="0" fontId="13" fillId="30" borderId="25" xfId="0" applyFont="1" applyFill="1" applyBorder="1" applyAlignment="1" applyProtection="1">
      <alignment horizontal="left" vertical="top"/>
    </xf>
    <xf numFmtId="0" fontId="13" fillId="30" borderId="28" xfId="0" applyFont="1" applyFill="1" applyBorder="1" applyAlignment="1" applyProtection="1">
      <alignment horizontal="left" vertical="top" wrapText="1"/>
    </xf>
    <xf numFmtId="0" fontId="13" fillId="30" borderId="29" xfId="0" applyFont="1" applyFill="1" applyBorder="1" applyAlignment="1" applyProtection="1">
      <alignment horizontal="left" vertical="top" wrapText="1"/>
    </xf>
    <xf numFmtId="0" fontId="13" fillId="30" borderId="13" xfId="0" applyFont="1" applyFill="1" applyBorder="1" applyAlignment="1" applyProtection="1">
      <alignment horizontal="left"/>
    </xf>
    <xf numFmtId="0" fontId="13" fillId="30" borderId="14" xfId="0" applyFont="1" applyFill="1" applyBorder="1" applyAlignment="1" applyProtection="1">
      <alignment horizontal="left"/>
    </xf>
    <xf numFmtId="0" fontId="13" fillId="30" borderId="48" xfId="0" applyFont="1" applyFill="1" applyBorder="1" applyAlignment="1" applyProtection="1">
      <alignment horizontal="left" vertical="top" wrapText="1"/>
    </xf>
    <xf numFmtId="0" fontId="13" fillId="30" borderId="55" xfId="0" applyFont="1" applyFill="1" applyBorder="1" applyAlignment="1" applyProtection="1">
      <alignment horizontal="left" vertical="top" wrapText="1"/>
    </xf>
    <xf numFmtId="0" fontId="13" fillId="30" borderId="49" xfId="0" applyFont="1" applyFill="1" applyBorder="1" applyAlignment="1" applyProtection="1">
      <alignment horizontal="left" vertical="top" wrapText="1"/>
    </xf>
    <xf numFmtId="0" fontId="13" fillId="30" borderId="56" xfId="0" applyFont="1" applyFill="1" applyBorder="1" applyAlignment="1" applyProtection="1">
      <alignment horizontal="left" vertical="top" wrapText="1"/>
    </xf>
    <xf numFmtId="0" fontId="13" fillId="30" borderId="50" xfId="0" applyFont="1" applyFill="1" applyBorder="1" applyAlignment="1" applyProtection="1">
      <alignment horizontal="left" vertical="top" wrapText="1"/>
    </xf>
    <xf numFmtId="0" fontId="13" fillId="30" borderId="46" xfId="0" applyFont="1" applyFill="1" applyBorder="1" applyAlignment="1" applyProtection="1">
      <alignment horizontal="left" vertical="top" wrapText="1"/>
    </xf>
    <xf numFmtId="0" fontId="13" fillId="30" borderId="13" xfId="0" applyFont="1" applyFill="1" applyBorder="1" applyAlignment="1" applyProtection="1">
      <alignment horizontal="left" vertical="top" wrapText="1"/>
    </xf>
    <xf numFmtId="0" fontId="13" fillId="30" borderId="14" xfId="0" applyFont="1" applyFill="1" applyBorder="1" applyAlignment="1" applyProtection="1">
      <alignment horizontal="left" vertical="top" wrapText="1"/>
    </xf>
    <xf numFmtId="0" fontId="60" fillId="30" borderId="44" xfId="0" applyFont="1" applyFill="1" applyBorder="1" applyAlignment="1" applyProtection="1">
      <alignment horizontal="center"/>
    </xf>
    <xf numFmtId="0" fontId="60" fillId="30" borderId="45" xfId="0" applyFont="1" applyFill="1" applyBorder="1" applyAlignment="1" applyProtection="1">
      <alignment horizontal="center"/>
    </xf>
    <xf numFmtId="0" fontId="60" fillId="30" borderId="43" xfId="0" applyFont="1" applyFill="1" applyBorder="1" applyAlignment="1" applyProtection="1">
      <alignment horizontal="center"/>
    </xf>
    <xf numFmtId="0" fontId="13" fillId="30" borderId="66" xfId="0" applyFont="1" applyFill="1" applyBorder="1" applyAlignment="1" applyProtection="1">
      <alignment horizontal="left"/>
    </xf>
    <xf numFmtId="0" fontId="13" fillId="30" borderId="67" xfId="0" applyFont="1" applyFill="1" applyBorder="1" applyAlignment="1" applyProtection="1">
      <alignment horizontal="left"/>
    </xf>
    <xf numFmtId="0" fontId="13" fillId="30" borderId="16" xfId="0" applyFont="1" applyFill="1" applyBorder="1" applyAlignment="1" applyProtection="1">
      <alignment horizontal="left" vertical="top"/>
    </xf>
    <xf numFmtId="0" fontId="13" fillId="30" borderId="23" xfId="0" applyFont="1" applyFill="1" applyBorder="1" applyAlignment="1" applyProtection="1">
      <alignment horizontal="left" vertical="top"/>
    </xf>
    <xf numFmtId="0" fontId="13" fillId="30" borderId="57" xfId="0" applyFont="1" applyFill="1" applyBorder="1" applyAlignment="1" applyProtection="1">
      <alignment horizontal="left" vertical="top" wrapText="1"/>
    </xf>
    <xf numFmtId="0" fontId="13" fillId="30" borderId="47" xfId="0" applyFont="1" applyFill="1" applyBorder="1" applyAlignment="1" applyProtection="1">
      <alignment horizontal="left" vertical="top" wrapText="1"/>
    </xf>
    <xf numFmtId="0" fontId="13" fillId="32" borderId="18" xfId="0" applyFont="1" applyFill="1" applyBorder="1" applyAlignment="1" applyProtection="1">
      <alignment horizontal="center"/>
    </xf>
    <xf numFmtId="0" fontId="13" fillId="32" borderId="19" xfId="0" applyFont="1" applyFill="1" applyBorder="1" applyAlignment="1" applyProtection="1">
      <alignment horizontal="center"/>
    </xf>
    <xf numFmtId="0" fontId="13" fillId="32" borderId="20" xfId="0" applyFont="1" applyFill="1" applyBorder="1" applyAlignment="1" applyProtection="1">
      <alignment horizontal="center"/>
    </xf>
    <xf numFmtId="0" fontId="32" fillId="32" borderId="0" xfId="0" applyFont="1" applyFill="1" applyBorder="1" applyAlignment="1" applyProtection="1">
      <alignment horizontal="center"/>
    </xf>
    <xf numFmtId="0" fontId="32" fillId="32" borderId="0" xfId="0" applyFont="1" applyFill="1" applyAlignment="1" applyProtection="1">
      <alignment horizontal="center"/>
    </xf>
    <xf numFmtId="0" fontId="78" fillId="28" borderId="0" xfId="0" applyFont="1" applyFill="1" applyBorder="1" applyAlignment="1" applyProtection="1">
      <alignment horizontal="center" vertical="center" wrapText="1"/>
    </xf>
    <xf numFmtId="0" fontId="32" fillId="28" borderId="0" xfId="0" applyFont="1" applyFill="1" applyBorder="1" applyAlignment="1" applyProtection="1">
      <alignment horizontal="center" vertical="center"/>
    </xf>
    <xf numFmtId="0" fontId="13" fillId="30" borderId="13" xfId="0" applyFont="1" applyFill="1" applyBorder="1" applyAlignment="1" applyProtection="1">
      <alignment horizontal="left" vertical="top"/>
    </xf>
    <xf numFmtId="0" fontId="13" fillId="30" borderId="14" xfId="0" applyFont="1" applyFill="1" applyBorder="1" applyAlignment="1" applyProtection="1">
      <alignment horizontal="left" vertical="top"/>
    </xf>
    <xf numFmtId="0" fontId="10" fillId="34" borderId="18" xfId="0" applyFont="1" applyFill="1" applyBorder="1" applyAlignment="1" applyProtection="1">
      <alignment horizontal="center"/>
    </xf>
    <xf numFmtId="0" fontId="10" fillId="34" borderId="19" xfId="0" applyFont="1" applyFill="1" applyBorder="1" applyAlignment="1" applyProtection="1">
      <alignment horizontal="center"/>
    </xf>
    <xf numFmtId="0" fontId="10" fillId="34" borderId="20" xfId="0" applyFont="1" applyFill="1" applyBorder="1" applyAlignment="1" applyProtection="1">
      <alignment horizontal="center"/>
    </xf>
    <xf numFmtId="0" fontId="32" fillId="32" borderId="35" xfId="0" applyFont="1" applyFill="1" applyBorder="1" applyAlignment="1" applyProtection="1">
      <alignment horizontal="center"/>
    </xf>
    <xf numFmtId="0" fontId="32" fillId="32" borderId="36" xfId="0" applyFont="1" applyFill="1" applyBorder="1" applyAlignment="1" applyProtection="1">
      <alignment horizontal="center"/>
    </xf>
    <xf numFmtId="0" fontId="80" fillId="0" borderId="43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0" fontId="77" fillId="28" borderId="0" xfId="0" applyFont="1" applyFill="1" applyBorder="1" applyAlignment="1" applyProtection="1">
      <alignment horizontal="center" vertical="center" wrapText="1"/>
    </xf>
    <xf numFmtId="0" fontId="32" fillId="28" borderId="0" xfId="0" applyFont="1" applyFill="1" applyBorder="1" applyAlignment="1" applyProtection="1">
      <alignment horizontal="center" vertical="center" wrapText="1"/>
    </xf>
    <xf numFmtId="0" fontId="13" fillId="32" borderId="0" xfId="0" applyFont="1" applyFill="1" applyBorder="1" applyAlignment="1" applyProtection="1">
      <alignment horizontal="center"/>
    </xf>
    <xf numFmtId="0" fontId="32" fillId="28" borderId="0" xfId="0" applyFont="1" applyFill="1" applyBorder="1" applyAlignment="1" applyProtection="1">
      <alignment horizontal="center"/>
    </xf>
    <xf numFmtId="0" fontId="13" fillId="32" borderId="26" xfId="0" applyFont="1" applyFill="1" applyBorder="1" applyAlignment="1" applyProtection="1">
      <alignment horizontal="center" wrapText="1"/>
    </xf>
    <xf numFmtId="0" fontId="13" fillId="32" borderId="11" xfId="0" applyFont="1" applyFill="1" applyBorder="1" applyAlignment="1" applyProtection="1">
      <alignment horizontal="center" wrapText="1"/>
    </xf>
    <xf numFmtId="0" fontId="13" fillId="32" borderId="15" xfId="0" applyFont="1" applyFill="1" applyBorder="1" applyAlignment="1" applyProtection="1">
      <alignment horizontal="center" wrapText="1"/>
    </xf>
    <xf numFmtId="0" fontId="13" fillId="30" borderId="54" xfId="0" applyFont="1" applyFill="1" applyBorder="1" applyAlignment="1" applyProtection="1">
      <alignment horizontal="left" wrapText="1"/>
      <protection locked="0"/>
    </xf>
    <xf numFmtId="0" fontId="13" fillId="30" borderId="55" xfId="0" applyFont="1" applyFill="1" applyBorder="1" applyAlignment="1" applyProtection="1">
      <alignment horizontal="left" wrapText="1"/>
      <protection locked="0"/>
    </xf>
    <xf numFmtId="0" fontId="13" fillId="30" borderId="0" xfId="0" applyFont="1" applyFill="1" applyBorder="1" applyAlignment="1" applyProtection="1">
      <alignment horizontal="left" wrapText="1"/>
      <protection locked="0"/>
    </xf>
    <xf numFmtId="0" fontId="13" fillId="30" borderId="56" xfId="0" applyFont="1" applyFill="1" applyBorder="1" applyAlignment="1" applyProtection="1">
      <alignment horizontal="left" wrapText="1"/>
      <protection locked="0"/>
    </xf>
    <xf numFmtId="0" fontId="10" fillId="34" borderId="32" xfId="0" applyFont="1" applyFill="1" applyBorder="1" applyAlignment="1" applyProtection="1">
      <alignment horizontal="center"/>
    </xf>
    <xf numFmtId="0" fontId="10" fillId="34" borderId="10" xfId="0" applyFont="1" applyFill="1" applyBorder="1" applyAlignment="1" applyProtection="1">
      <alignment horizontal="center"/>
    </xf>
    <xf numFmtId="0" fontId="10" fillId="34" borderId="37" xfId="0" applyFont="1" applyFill="1" applyBorder="1" applyAlignment="1" applyProtection="1">
      <alignment horizontal="center"/>
    </xf>
    <xf numFmtId="0" fontId="10" fillId="32" borderId="54" xfId="0" applyFont="1" applyFill="1" applyBorder="1" applyAlignment="1" applyProtection="1">
      <alignment horizontal="center"/>
    </xf>
    <xf numFmtId="0" fontId="0" fillId="32" borderId="0" xfId="0" applyFill="1" applyAlignment="1" applyProtection="1">
      <alignment horizontal="left"/>
    </xf>
    <xf numFmtId="0" fontId="0" fillId="32" borderId="0" xfId="0" applyFill="1" applyBorder="1" applyAlignment="1" applyProtection="1">
      <alignment horizontal="center"/>
    </xf>
    <xf numFmtId="0" fontId="0" fillId="32" borderId="0" xfId="0" applyFill="1" applyAlignment="1" applyProtection="1">
      <alignment horizontal="center"/>
    </xf>
    <xf numFmtId="0" fontId="52" fillId="32" borderId="0" xfId="0" applyFont="1" applyFill="1" applyBorder="1" applyAlignment="1" applyProtection="1">
      <alignment horizontal="center"/>
    </xf>
    <xf numFmtId="0" fontId="10" fillId="32" borderId="0" xfId="0" applyFont="1" applyFill="1" applyBorder="1" applyAlignment="1" applyProtection="1">
      <alignment horizontal="center"/>
    </xf>
    <xf numFmtId="0" fontId="53" fillId="32" borderId="0" xfId="0" applyFont="1" applyFill="1" applyBorder="1" applyAlignment="1" applyProtection="1">
      <alignment horizontal="center"/>
    </xf>
    <xf numFmtId="0" fontId="9" fillId="0" borderId="26" xfId="88" applyFont="1" applyBorder="1" applyAlignment="1">
      <alignment horizontal="center" vertical="center"/>
    </xf>
    <xf numFmtId="0" fontId="9" fillId="0" borderId="15" xfId="88" applyBorder="1" applyAlignment="1">
      <alignment horizontal="center" vertical="center"/>
    </xf>
    <xf numFmtId="0" fontId="9" fillId="0" borderId="49" xfId="88" applyFont="1" applyBorder="1" applyAlignment="1">
      <alignment horizontal="center" vertical="center"/>
    </xf>
    <xf numFmtId="0" fontId="9" fillId="0" borderId="56" xfId="88" applyBorder="1" applyAlignment="1">
      <alignment horizontal="center" vertical="center"/>
    </xf>
    <xf numFmtId="0" fontId="9" fillId="0" borderId="50" xfId="88" applyBorder="1" applyAlignment="1">
      <alignment horizontal="center" vertical="center"/>
    </xf>
    <xf numFmtId="0" fontId="9" fillId="0" borderId="46" xfId="88" applyBorder="1" applyAlignment="1">
      <alignment horizontal="center" vertical="center"/>
    </xf>
    <xf numFmtId="0" fontId="9" fillId="0" borderId="48" xfId="88" applyFont="1" applyBorder="1" applyAlignment="1">
      <alignment horizontal="center" vertical="center"/>
    </xf>
    <xf numFmtId="0" fontId="9" fillId="0" borderId="54" xfId="88" applyBorder="1" applyAlignment="1">
      <alignment horizontal="center" vertical="center"/>
    </xf>
    <xf numFmtId="0" fontId="9" fillId="0" borderId="55" xfId="88" applyBorder="1" applyAlignment="1">
      <alignment horizontal="center" vertical="center"/>
    </xf>
    <xf numFmtId="0" fontId="9" fillId="0" borderId="31" xfId="88" applyBorder="1" applyAlignment="1">
      <alignment horizontal="center" vertical="center"/>
    </xf>
    <xf numFmtId="0" fontId="10" fillId="0" borderId="0" xfId="88" applyFont="1" applyAlignment="1">
      <alignment horizontal="center" vertical="center"/>
    </xf>
    <xf numFmtId="0" fontId="9" fillId="0" borderId="15" xfId="88" applyFont="1" applyBorder="1" applyAlignment="1">
      <alignment horizontal="center" vertical="center"/>
    </xf>
    <xf numFmtId="0" fontId="9" fillId="0" borderId="49" xfId="88" applyBorder="1" applyAlignment="1">
      <alignment horizontal="center" vertical="center"/>
    </xf>
    <xf numFmtId="0" fontId="9" fillId="0" borderId="55" xfId="88" applyFont="1" applyBorder="1" applyAlignment="1">
      <alignment horizontal="center" vertical="center"/>
    </xf>
    <xf numFmtId="0" fontId="9" fillId="0" borderId="50" xfId="88" applyFont="1" applyBorder="1" applyAlignment="1">
      <alignment horizontal="center" vertical="center"/>
    </xf>
    <xf numFmtId="0" fontId="9" fillId="0" borderId="46" xfId="88" applyFont="1" applyBorder="1" applyAlignment="1">
      <alignment horizontal="center" vertical="center"/>
    </xf>
    <xf numFmtId="0" fontId="9" fillId="0" borderId="54" xfId="88" applyFont="1" applyBorder="1" applyAlignment="1">
      <alignment horizontal="center" vertical="center"/>
    </xf>
    <xf numFmtId="0" fontId="9" fillId="0" borderId="31" xfId="88" applyFont="1" applyBorder="1" applyAlignment="1">
      <alignment horizontal="center" vertical="center"/>
    </xf>
    <xf numFmtId="0" fontId="35" fillId="0" borderId="0" xfId="88" applyFont="1" applyAlignment="1" applyProtection="1">
      <alignment horizontal="left"/>
    </xf>
    <xf numFmtId="0" fontId="10" fillId="0" borderId="0" xfId="0" applyFont="1" applyBorder="1" applyAlignment="1"/>
    <xf numFmtId="0" fontId="0" fillId="30" borderId="19" xfId="0" applyFill="1" applyBorder="1" applyAlignment="1" applyProtection="1">
      <protection locked="0"/>
    </xf>
    <xf numFmtId="0" fontId="0" fillId="30" borderId="20" xfId="0" applyFill="1" applyBorder="1" applyAlignment="1" applyProtection="1">
      <protection locked="0"/>
    </xf>
    <xf numFmtId="0" fontId="9" fillId="30" borderId="19" xfId="0" applyFont="1" applyFill="1" applyBorder="1" applyAlignment="1" applyProtection="1">
      <protection locked="0"/>
    </xf>
    <xf numFmtId="0" fontId="0" fillId="28" borderId="0" xfId="0" applyFill="1" applyBorder="1" applyAlignment="1" applyProtection="1">
      <protection locked="0"/>
    </xf>
    <xf numFmtId="0" fontId="0" fillId="28" borderId="0" xfId="0" applyFill="1" applyBorder="1" applyAlignment="1"/>
    <xf numFmtId="0" fontId="36" fillId="0" borderId="0" xfId="0" applyFont="1" applyAlignment="1"/>
    <xf numFmtId="0" fontId="36" fillId="0" borderId="0" xfId="0" applyFont="1" applyBorder="1" applyAlignment="1"/>
  </cellXfs>
  <cellStyles count="177">
    <cellStyle name="20 % - uthevingsfarge 1" xfId="7" builtinId="30" customBuiltin="1"/>
    <cellStyle name="20 % - uthevingsfarge 2" xfId="8" builtinId="34" customBuiltin="1"/>
    <cellStyle name="20 % - uthevingsfarge 3" xfId="9" builtinId="38" customBuiltin="1"/>
    <cellStyle name="20 % - uthevingsfarge 4" xfId="10" builtinId="42" customBuiltin="1"/>
    <cellStyle name="20 % - uthevingsfarge 5" xfId="11" builtinId="46" customBuiltin="1"/>
    <cellStyle name="20 % - uthevingsfarge 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uthevingsfarge 1" xfId="19" builtinId="31" customBuiltin="1"/>
    <cellStyle name="40 % - uthevingsfarge 2" xfId="20" builtinId="35" customBuiltin="1"/>
    <cellStyle name="40 % - uthevingsfarge 3" xfId="21" builtinId="39" customBuiltin="1"/>
    <cellStyle name="40 % - uthevingsfarge 4" xfId="22" builtinId="43" customBuiltin="1"/>
    <cellStyle name="40 % - uthevingsfarge 5" xfId="23" builtinId="47" customBuiltin="1"/>
    <cellStyle name="40 % - uthevingsfarge 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uthevingsfarge 1" xfId="31" builtinId="32" customBuiltin="1"/>
    <cellStyle name="60 % - uthevingsfarge 2" xfId="32" builtinId="36" customBuiltin="1"/>
    <cellStyle name="60 % - uthevingsfarge 3" xfId="33" builtinId="40" customBuiltin="1"/>
    <cellStyle name="60 % - uthevingsfarge 4" xfId="34" builtinId="44" customBuiltin="1"/>
    <cellStyle name="60 % - uthevingsfarge 5" xfId="35" builtinId="48" customBuiltin="1"/>
    <cellStyle name="60 % - uthevingsfarge 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regning" xfId="44" builtinId="22" customBuiltin="1"/>
    <cellStyle name="Calculation" xfId="45"/>
    <cellStyle name="Check Cell" xfId="46"/>
    <cellStyle name="Dårlig" xfId="47" builtinId="27" customBuiltin="1"/>
    <cellStyle name="Explanatory Text" xfId="48"/>
    <cellStyle name="Forklarende tekst" xfId="49" builtinId="53" customBuiltin="1"/>
    <cellStyle name="God" xfId="50" builtinId="26" customBuiltin="1"/>
    <cellStyle name="Good" xfId="51"/>
    <cellStyle name="Heading 1" xfId="52"/>
    <cellStyle name="Heading 2" xfId="53"/>
    <cellStyle name="Heading 3" xfId="54"/>
    <cellStyle name="Heading 4" xfId="55"/>
    <cellStyle name="Inndata" xfId="56" builtinId="20" customBuiltin="1"/>
    <cellStyle name="Input" xfId="57"/>
    <cellStyle name="Koblet celle" xfId="58" builtinId="24" customBuiltin="1"/>
    <cellStyle name="Kontrollcelle" xfId="59" builtinId="23" customBuiltin="1"/>
    <cellStyle name="Linked Cell" xfId="60"/>
    <cellStyle name="Merknad" xfId="61" builtinId="10" customBuiltin="1"/>
    <cellStyle name="Neutral" xfId="62"/>
    <cellStyle name="Normal" xfId="0" builtinId="0"/>
    <cellStyle name="Normal 2" xfId="63"/>
    <cellStyle name="Normal 2 2" xfId="88"/>
    <cellStyle name="Normal 3" xfId="84"/>
    <cellStyle name="Normal 3 2" xfId="89"/>
    <cellStyle name="Normal 3 2 2" xfId="93"/>
    <cellStyle name="Normal 3 2 2 2" xfId="102"/>
    <cellStyle name="Normal 3 2 2 2 2" xfId="120"/>
    <cellStyle name="Normal 3 2 2 2 2 2" xfId="123"/>
    <cellStyle name="Normal 3 2 2 2 3" xfId="124"/>
    <cellStyle name="Normal 3 2 2 2 4" xfId="125"/>
    <cellStyle name="Normal 3 2 2 3" xfId="111"/>
    <cellStyle name="Normal 3 2 2 3 2" xfId="126"/>
    <cellStyle name="Normal 3 2 2 4" xfId="127"/>
    <cellStyle name="Normal 3 2 2 5" xfId="128"/>
    <cellStyle name="Normal 3 2 3" xfId="98"/>
    <cellStyle name="Normal 3 2 3 2" xfId="116"/>
    <cellStyle name="Normal 3 2 3 2 2" xfId="129"/>
    <cellStyle name="Normal 3 2 3 3" xfId="130"/>
    <cellStyle name="Normal 3 2 3 4" xfId="131"/>
    <cellStyle name="Normal 3 2 4" xfId="107"/>
    <cellStyle name="Normal 3 2 4 2" xfId="132"/>
    <cellStyle name="Normal 3 2 5" xfId="133"/>
    <cellStyle name="Normal 3 2 6" xfId="134"/>
    <cellStyle name="Normal 3 3" xfId="91"/>
    <cellStyle name="Normal 3 3 2" xfId="100"/>
    <cellStyle name="Normal 3 3 2 2" xfId="118"/>
    <cellStyle name="Normal 3 3 2 2 2" xfId="135"/>
    <cellStyle name="Normal 3 3 2 3" xfId="136"/>
    <cellStyle name="Normal 3 3 2 4" xfId="137"/>
    <cellStyle name="Normal 3 3 3" xfId="109"/>
    <cellStyle name="Normal 3 3 3 2" xfId="138"/>
    <cellStyle name="Normal 3 3 4" xfId="139"/>
    <cellStyle name="Normal 3 3 5" xfId="140"/>
    <cellStyle name="Normal 3 4" xfId="95"/>
    <cellStyle name="Normal 3 4 2" xfId="104"/>
    <cellStyle name="Normal 3 4 2 2" xfId="122"/>
    <cellStyle name="Normal 3 4 2 2 2" xfId="141"/>
    <cellStyle name="Normal 3 4 2 3" xfId="142"/>
    <cellStyle name="Normal 3 4 2 4" xfId="143"/>
    <cellStyle name="Normal 3 4 3" xfId="113"/>
    <cellStyle name="Normal 3 4 3 2" xfId="144"/>
    <cellStyle name="Normal 3 4 4" xfId="145"/>
    <cellStyle name="Normal 3 4 5" xfId="146"/>
    <cellStyle name="Normal 3 5" xfId="96"/>
    <cellStyle name="Normal 3 5 2" xfId="114"/>
    <cellStyle name="Normal 3 5 2 2" xfId="147"/>
    <cellStyle name="Normal 3 5 3" xfId="148"/>
    <cellStyle name="Normal 3 5 4" xfId="149"/>
    <cellStyle name="Normal 3 6" xfId="105"/>
    <cellStyle name="Normal 3 6 2" xfId="150"/>
    <cellStyle name="Normal 3 7" xfId="151"/>
    <cellStyle name="Normal 3 8" xfId="152"/>
    <cellStyle name="Normal 4" xfId="86"/>
    <cellStyle name="Normal 4 2" xfId="90"/>
    <cellStyle name="Normal 4 2 2" xfId="94"/>
    <cellStyle name="Normal 4 2 2 2" xfId="103"/>
    <cellStyle name="Normal 4 2 2 2 2" xfId="121"/>
    <cellStyle name="Normal 4 2 2 2 2 2" xfId="153"/>
    <cellStyle name="Normal 4 2 2 2 3" xfId="154"/>
    <cellStyle name="Normal 4 2 2 2 4" xfId="155"/>
    <cellStyle name="Normal 4 2 2 3" xfId="112"/>
    <cellStyle name="Normal 4 2 2 3 2" xfId="156"/>
    <cellStyle name="Normal 4 2 2 4" xfId="157"/>
    <cellStyle name="Normal 4 2 2 5" xfId="158"/>
    <cellStyle name="Normal 4 2 3" xfId="99"/>
    <cellStyle name="Normal 4 2 3 2" xfId="117"/>
    <cellStyle name="Normal 4 2 3 2 2" xfId="159"/>
    <cellStyle name="Normal 4 2 3 3" xfId="160"/>
    <cellStyle name="Normal 4 2 3 4" xfId="161"/>
    <cellStyle name="Normal 4 2 4" xfId="108"/>
    <cellStyle name="Normal 4 2 4 2" xfId="162"/>
    <cellStyle name="Normal 4 2 5" xfId="163"/>
    <cellStyle name="Normal 4 2 6" xfId="164"/>
    <cellStyle name="Normal 4 3" xfId="92"/>
    <cellStyle name="Normal 4 3 2" xfId="101"/>
    <cellStyle name="Normal 4 3 2 2" xfId="119"/>
    <cellStyle name="Normal 4 3 2 2 2" xfId="165"/>
    <cellStyle name="Normal 4 3 2 3" xfId="166"/>
    <cellStyle name="Normal 4 3 2 4" xfId="167"/>
    <cellStyle name="Normal 4 3 3" xfId="110"/>
    <cellStyle name="Normal 4 3 3 2" xfId="168"/>
    <cellStyle name="Normal 4 3 4" xfId="169"/>
    <cellStyle name="Normal 4 3 5" xfId="170"/>
    <cellStyle name="Normal 4 4" xfId="97"/>
    <cellStyle name="Normal 4 4 2" xfId="115"/>
    <cellStyle name="Normal 4 4 2 2" xfId="171"/>
    <cellStyle name="Normal 4 4 3" xfId="172"/>
    <cellStyle name="Normal 4 4 4" xfId="173"/>
    <cellStyle name="Normal 4 5" xfId="106"/>
    <cellStyle name="Normal 4 5 2" xfId="174"/>
    <cellStyle name="Normal 4 6" xfId="175"/>
    <cellStyle name="Normal 4 7" xfId="176"/>
    <cellStyle name="Normal 5" xfId="87"/>
    <cellStyle name="Note" xfId="64"/>
    <cellStyle name="Nøytral" xfId="65" builtinId="28" customBuiltin="1"/>
    <cellStyle name="Output" xfId="66"/>
    <cellStyle name="Overskrift 1" xfId="67" builtinId="16" customBuiltin="1"/>
    <cellStyle name="Overskrift 2" xfId="68" builtinId="17" customBuiltin="1"/>
    <cellStyle name="Overskrift 3" xfId="69" builtinId="18" customBuiltin="1"/>
    <cellStyle name="Overskrift 4" xfId="70" builtinId="19" customBuiltin="1"/>
    <cellStyle name="Title" xfId="71"/>
    <cellStyle name="Tittel" xfId="72" builtinId="15" customBuiltin="1"/>
    <cellStyle name="Total" xfId="73"/>
    <cellStyle name="Totalt" xfId="74" builtinId="25" customBuiltin="1"/>
    <cellStyle name="Utdata" xfId="75" builtinId="21" customBuiltin="1"/>
    <cellStyle name="Utdata 2" xfId="85"/>
    <cellStyle name="Uthevingsfarge1" xfId="76" builtinId="29" customBuiltin="1"/>
    <cellStyle name="Uthevingsfarge2" xfId="77" builtinId="33" customBuiltin="1"/>
    <cellStyle name="Uthevingsfarge3" xfId="78" builtinId="37" customBuiltin="1"/>
    <cellStyle name="Uthevingsfarge4" xfId="79" builtinId="41" customBuiltin="1"/>
    <cellStyle name="Uthevingsfarge5" xfId="80" builtinId="45" customBuiltin="1"/>
    <cellStyle name="Uthevingsfarge6" xfId="81" builtinId="49" customBuiltin="1"/>
    <cellStyle name="Varseltekst" xfId="82" builtinId="11" customBuiltin="1"/>
    <cellStyle name="Warning Text" xfId="83"/>
  </cellStyles>
  <dxfs count="18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  <color rgb="FFCC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Stråleutbytte</a:t>
            </a:r>
            <a:r>
              <a:rPr lang="nb-NO" baseline="0"/>
              <a:t> vs. </a:t>
            </a:r>
            <a:r>
              <a:rPr lang="nb-NO"/>
              <a:t>kV</a:t>
            </a:r>
            <a:r>
              <a:rPr lang="nb-NO" baseline="30000"/>
              <a:t>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Målinger!$AM$5</c:f>
              <c:strCache>
                <c:ptCount val="1"/>
                <c:pt idx="0">
                  <c:v>FF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layout>
                <c:manualLayout>
                  <c:x val="0.34878455611359566"/>
                  <c:y val="3.7357045208652177E-2"/>
                </c:manualLayout>
              </c:layout>
              <c:numFmt formatCode="General" sourceLinked="0"/>
            </c:trendlineLbl>
          </c:trendline>
          <c:xVal>
            <c:numRef>
              <c:f>Målinger!$AN$7:$AN$13</c:f>
              <c:numCache>
                <c:formatCode>General</c:formatCode>
                <c:ptCount val="7"/>
                <c:pt idx="0">
                  <c:v>2500</c:v>
                </c:pt>
                <c:pt idx="1">
                  <c:v>3600</c:v>
                </c:pt>
                <c:pt idx="2">
                  <c:v>4900</c:v>
                </c:pt>
                <c:pt idx="3">
                  <c:v>6561</c:v>
                </c:pt>
                <c:pt idx="4">
                  <c:v>8100</c:v>
                </c:pt>
                <c:pt idx="5">
                  <c:v>11881</c:v>
                </c:pt>
                <c:pt idx="6">
                  <c:v>15625</c:v>
                </c:pt>
              </c:numCache>
            </c:numRef>
          </c:xVal>
          <c:yVal>
            <c:numRef>
              <c:f>Målinger!$AO$7:$AO$13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F0-46C0-8126-8D28AA71C2A9}"/>
            </c:ext>
          </c:extLst>
        </c:ser>
        <c:ser>
          <c:idx val="1"/>
          <c:order val="1"/>
          <c:tx>
            <c:strRef>
              <c:f>Målinger!$AP$5</c:f>
              <c:strCache>
                <c:ptCount val="1"/>
                <c:pt idx="0">
                  <c:v>GF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layout>
                <c:manualLayout>
                  <c:x val="0.33843211457788835"/>
                  <c:y val="-4.7519171406145692E-2"/>
                </c:manualLayout>
              </c:layout>
              <c:numFmt formatCode="General" sourceLinked="0"/>
            </c:trendlineLbl>
          </c:trendline>
          <c:xVal>
            <c:numRef>
              <c:f>Målinger!$AQ$7:$AQ$13</c:f>
              <c:numCache>
                <c:formatCode>General</c:formatCode>
                <c:ptCount val="7"/>
                <c:pt idx="0">
                  <c:v>2500</c:v>
                </c:pt>
                <c:pt idx="1">
                  <c:v>3600</c:v>
                </c:pt>
                <c:pt idx="2">
                  <c:v>4900</c:v>
                </c:pt>
                <c:pt idx="3">
                  <c:v>6561</c:v>
                </c:pt>
                <c:pt idx="4">
                  <c:v>8100</c:v>
                </c:pt>
                <c:pt idx="5">
                  <c:v>11881</c:v>
                </c:pt>
                <c:pt idx="6">
                  <c:v>15625</c:v>
                </c:pt>
              </c:numCache>
            </c:numRef>
          </c:xVal>
          <c:yVal>
            <c:numRef>
              <c:f>Målinger!$AR$7:$AR$13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F0-46C0-8126-8D28AA71C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20032"/>
        <c:axId val="110634496"/>
      </c:scatterChart>
      <c:valAx>
        <c:axId val="1106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kV</a:t>
                </a:r>
                <a:r>
                  <a:rPr lang="nb-NO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0.70508475339471033"/>
              <c:y val="0.878597281821026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10634496"/>
        <c:crosses val="autoZero"/>
        <c:crossBetween val="midCat"/>
      </c:valAx>
      <c:valAx>
        <c:axId val="110634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µGy/mAs</a:t>
                </a:r>
              </a:p>
            </c:rich>
          </c:tx>
          <c:layout>
            <c:manualLayout>
              <c:xMode val="edge"/>
              <c:yMode val="edge"/>
              <c:x val="8.5625268547008984E-2"/>
              <c:y val="7.086978710994457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0620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601001112825163"/>
          <c:y val="0.39046768806905702"/>
          <c:w val="0.20059548529062912"/>
          <c:h val="0.334595425652927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baseline="0"/>
              <a:t>Dose vs. mA</a:t>
            </a:r>
            <a:endParaRPr lang="nb-NO" baseline="300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Målinger!$AV$5</c:f>
              <c:strCache>
                <c:ptCount val="1"/>
                <c:pt idx="0">
                  <c:v>FF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layout>
                <c:manualLayout>
                  <c:x val="0.45953965167167482"/>
                  <c:y val="-0.21310134947289236"/>
                </c:manualLayout>
              </c:layout>
              <c:numFmt formatCode="General" sourceLinked="0"/>
            </c:trendlineLbl>
          </c:trendline>
          <c:xVal>
            <c:numRef>
              <c:f>Målinger!$AV$7:$AV$10</c:f>
              <c:numCache>
                <c:formatCode>General</c:formatCode>
                <c:ptCount val="4"/>
                <c:pt idx="0">
                  <c:v>200</c:v>
                </c:pt>
                <c:pt idx="1">
                  <c:v>50</c:v>
                </c:pt>
                <c:pt idx="2">
                  <c:v>100</c:v>
                </c:pt>
                <c:pt idx="3">
                  <c:v>250</c:v>
                </c:pt>
              </c:numCache>
            </c:numRef>
          </c:xVal>
          <c:yVal>
            <c:numRef>
              <c:f>Målinger!$AW$7:$AW$10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0-447F-B2FB-1E4ABDE6A49F}"/>
            </c:ext>
          </c:extLst>
        </c:ser>
        <c:ser>
          <c:idx val="1"/>
          <c:order val="1"/>
          <c:tx>
            <c:strRef>
              <c:f>Målinger!$AX$5</c:f>
              <c:strCache>
                <c:ptCount val="1"/>
                <c:pt idx="0">
                  <c:v>GF</c:v>
                </c:pt>
              </c:strCache>
            </c:strRef>
          </c:tx>
          <c:trendline>
            <c:trendlineType val="linear"/>
            <c:dispRSqr val="1"/>
            <c:dispEq val="0"/>
            <c:trendlineLbl>
              <c:layout>
                <c:manualLayout>
                  <c:x val="0.29364918590846389"/>
                  <c:y val="5.6276974219225048E-2"/>
                </c:manualLayout>
              </c:layout>
              <c:numFmt formatCode="General" sourceLinked="0"/>
            </c:trendlineLbl>
          </c:trendline>
          <c:xVal>
            <c:numRef>
              <c:f>Målinger!$AX$7:$AX$11</c:f>
              <c:numCache>
                <c:formatCode>General</c:formatCode>
                <c:ptCount val="5"/>
                <c:pt idx="0">
                  <c:v>200</c:v>
                </c:pt>
                <c:pt idx="1">
                  <c:v>50</c:v>
                </c:pt>
                <c:pt idx="2">
                  <c:v>100</c:v>
                </c:pt>
                <c:pt idx="3">
                  <c:v>250</c:v>
                </c:pt>
                <c:pt idx="4">
                  <c:v>400</c:v>
                </c:pt>
              </c:numCache>
            </c:numRef>
          </c:xVal>
          <c:yVal>
            <c:numRef>
              <c:f>Målinger!$AY$7:$AY$11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0-447F-B2FB-1E4ABDE6A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24704"/>
        <c:axId val="111239168"/>
      </c:scatterChart>
      <c:valAx>
        <c:axId val="11122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 baseline="0"/>
                  <a:t>mA</a:t>
                </a:r>
                <a:endParaRPr lang="nb-NO" baseline="30000"/>
              </a:p>
            </c:rich>
          </c:tx>
          <c:layout>
            <c:manualLayout>
              <c:xMode val="edge"/>
              <c:yMode val="edge"/>
              <c:x val="0.71808169982866543"/>
              <c:y val="0.90635238564587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239168"/>
        <c:crosses val="autoZero"/>
        <c:crossBetween val="midCat"/>
      </c:valAx>
      <c:valAx>
        <c:axId val="111239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µGy</a:t>
                </a:r>
              </a:p>
            </c:rich>
          </c:tx>
          <c:layout>
            <c:manualLayout>
              <c:xMode val="edge"/>
              <c:yMode val="edge"/>
              <c:x val="8.5625268547008984E-2"/>
              <c:y val="7.086978710994457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1224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% avvik mellom utstyrets DAP og ref DAP ved ulike kV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 sz="1100" b="0" i="0" baseline="0">
                <a:effectLst/>
              </a:rPr>
              <a:t>Positivt % avvik:</a:t>
            </a:r>
            <a:r>
              <a:rPr lang="nb-NO" sz="1100" b="1" i="0" baseline="0">
                <a:effectLst/>
              </a:rPr>
              <a:t> </a:t>
            </a:r>
            <a:r>
              <a:rPr lang="nb-NO" sz="1100" b="0" i="0" baseline="0">
                <a:effectLst/>
              </a:rPr>
              <a:t>Utstyrets DAP&gt;Ref DAP, Negtativt % avvik:</a:t>
            </a:r>
            <a:r>
              <a:rPr lang="nb-NO" sz="1100" b="1" i="0" baseline="0">
                <a:effectLst/>
              </a:rPr>
              <a:t> </a:t>
            </a:r>
            <a:r>
              <a:rPr lang="nb-NO" sz="1100" b="0" i="0" baseline="0">
                <a:effectLst/>
              </a:rPr>
              <a:t>Utstyrets DAP&lt;Ref DAP</a:t>
            </a:r>
            <a:endParaRPr lang="nb-NO" sz="1100">
              <a:effectLst/>
            </a:endParaRPr>
          </a:p>
        </c:rich>
      </c:tx>
      <c:layout>
        <c:manualLayout>
          <c:xMode val="edge"/>
          <c:yMode val="edge"/>
          <c:x val="0.11799200138922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63303859718045E-2"/>
          <c:y val="0.29829637162836192"/>
          <c:w val="0.88088038144593372"/>
          <c:h val="0.67035191491324098"/>
        </c:manualLayout>
      </c:layout>
      <c:scatterChart>
        <c:scatterStyle val="lineMarker"/>
        <c:varyColors val="0"/>
        <c:ser>
          <c:idx val="0"/>
          <c:order val="0"/>
          <c:tx>
            <c:v>Uten filter</c:v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Målinger!$C$119:$C$127</c:f>
              <c:numCache>
                <c:formatCode>General</c:formatCode>
                <c:ptCount val="9"/>
              </c:numCache>
            </c:numRef>
          </c:xVal>
          <c:yVal>
            <c:numRef>
              <c:f>Målinger!$H$119:$H$127</c:f>
              <c:numCache>
                <c:formatCode>0.0\ 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4D-40EA-A024-46BA656B3BD7}"/>
            </c:ext>
          </c:extLst>
        </c:ser>
        <c:ser>
          <c:idx val="1"/>
          <c:order val="1"/>
          <c:tx>
            <c:v>Med int.filter</c:v>
          </c:tx>
          <c:spPr>
            <a:ln w="28575">
              <a:noFill/>
            </a:ln>
          </c:spPr>
          <c:xVal>
            <c:numRef>
              <c:f>Målinger!$C$128:$C$130</c:f>
              <c:numCache>
                <c:formatCode>General</c:formatCode>
                <c:ptCount val="3"/>
              </c:numCache>
            </c:numRef>
          </c:xVal>
          <c:yVal>
            <c:numRef>
              <c:f>Målinger!$H$128:$H$130</c:f>
              <c:numCache>
                <c:formatCode>0.0\ 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0-4B06-AC01-E3C16462E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73856"/>
        <c:axId val="111275392"/>
      </c:scatterChart>
      <c:valAx>
        <c:axId val="111273856"/>
        <c:scaling>
          <c:orientation val="minMax"/>
          <c:max val="15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11275392"/>
        <c:crosses val="autoZero"/>
        <c:crossBetween val="midCat"/>
        <c:majorUnit val="10"/>
      </c:valAx>
      <c:valAx>
        <c:axId val="111275392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111273856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1691826798166123"/>
          <c:y val="1.9619548157091212E-2"/>
          <c:w val="0.12267657131552907"/>
          <c:h val="0.186520733256906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Vegg AEC detektordose midtkammer ved ulike kV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Målinger!$N$89:$N$92</c:f>
              <c:numCache>
                <c:formatCode>0</c:formatCode>
                <c:ptCount val="4"/>
                <c:pt idx="0">
                  <c:v>73</c:v>
                </c:pt>
                <c:pt idx="1">
                  <c:v>90</c:v>
                </c:pt>
                <c:pt idx="2">
                  <c:v>109</c:v>
                </c:pt>
                <c:pt idx="3">
                  <c:v>117</c:v>
                </c:pt>
              </c:numCache>
            </c:numRef>
          </c:xVal>
          <c:yVal>
            <c:numRef>
              <c:f>Målinger!$O$89:$O$92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8D-414C-ACB8-4886F2C98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35808"/>
        <c:axId val="117737344"/>
      </c:scatterChart>
      <c:valAx>
        <c:axId val="117735808"/>
        <c:scaling>
          <c:orientation val="minMax"/>
          <c:min val="60"/>
        </c:scaling>
        <c:delete val="0"/>
        <c:axPos val="b"/>
        <c:numFmt formatCode="0" sourceLinked="1"/>
        <c:majorTickMark val="out"/>
        <c:minorTickMark val="none"/>
        <c:tickLblPos val="nextTo"/>
        <c:crossAx val="117737344"/>
        <c:crosses val="autoZero"/>
        <c:crossBetween val="midCat"/>
      </c:valAx>
      <c:valAx>
        <c:axId val="1177373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µGy</a:t>
                </a:r>
              </a:p>
            </c:rich>
          </c:tx>
          <c:layout>
            <c:manualLayout>
              <c:xMode val="edge"/>
              <c:yMode val="edge"/>
              <c:x val="6.7129629629629636E-2"/>
              <c:y val="0.1759635989064400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7735808"/>
        <c:crosses val="autoZero"/>
        <c:crossBetween val="midCat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Bord</a:t>
            </a:r>
            <a:r>
              <a:rPr lang="en-US" sz="1400" baseline="0"/>
              <a:t> </a:t>
            </a:r>
            <a:r>
              <a:rPr lang="en-US" sz="1400"/>
              <a:t>AEC detektordose midtkammer ved ulike kV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Målinger!$N$86:$N$87</c:f>
              <c:strCache>
                <c:ptCount val="2"/>
                <c:pt idx="0">
                  <c:v>Sjekk av kV-korreksjon midtkammer</c:v>
                </c:pt>
                <c:pt idx="1">
                  <c:v>og 1 mm Cu</c:v>
                </c:pt>
              </c:strCache>
            </c:strRef>
          </c:tx>
          <c:xVal>
            <c:numRef>
              <c:f>Målinger!$N$62:$N$65</c:f>
              <c:numCache>
                <c:formatCode>0</c:formatCode>
                <c:ptCount val="4"/>
                <c:pt idx="0">
                  <c:v>66</c:v>
                </c:pt>
                <c:pt idx="1">
                  <c:v>73</c:v>
                </c:pt>
                <c:pt idx="2">
                  <c:v>102</c:v>
                </c:pt>
                <c:pt idx="3">
                  <c:v>117</c:v>
                </c:pt>
              </c:numCache>
            </c:numRef>
          </c:xVal>
          <c:yVal>
            <c:numRef>
              <c:f>Målinger!$O$62:$O$65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4-4818-A69D-59B59FCBC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54112"/>
        <c:axId val="117760000"/>
      </c:scatterChart>
      <c:valAx>
        <c:axId val="117754112"/>
        <c:scaling>
          <c:orientation val="minMax"/>
          <c:min val="60"/>
        </c:scaling>
        <c:delete val="0"/>
        <c:axPos val="b"/>
        <c:numFmt formatCode="0" sourceLinked="1"/>
        <c:majorTickMark val="out"/>
        <c:minorTickMark val="none"/>
        <c:tickLblPos val="nextTo"/>
        <c:crossAx val="117760000"/>
        <c:crosses val="autoZero"/>
        <c:crossBetween val="midCat"/>
      </c:valAx>
      <c:valAx>
        <c:axId val="117760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µGy</a:t>
                </a:r>
              </a:p>
            </c:rich>
          </c:tx>
          <c:layout>
            <c:manualLayout>
              <c:xMode val="edge"/>
              <c:yMode val="edge"/>
              <c:x val="6.7129629629629636E-2"/>
              <c:y val="0.1759635989064400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7754112"/>
        <c:crosses val="autoZero"/>
        <c:crossBetween val="midCat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% avvik mellom utstyrets DAP og ref DAP ved ulike kV</a:t>
            </a:r>
          </a:p>
        </c:rich>
      </c:tx>
      <c:layout>
        <c:manualLayout>
          <c:xMode val="edge"/>
          <c:yMode val="edge"/>
          <c:x val="0.12852748375153109"/>
          <c:y val="7.730516510292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645564198777496E-2"/>
          <c:y val="0.30858700487558233"/>
          <c:w val="0.88088038144593372"/>
          <c:h val="0.57258921213604297"/>
        </c:manualLayout>
      </c:layout>
      <c:scatterChart>
        <c:scatterStyle val="lineMarker"/>
        <c:varyColors val="0"/>
        <c:ser>
          <c:idx val="0"/>
          <c:order val="0"/>
          <c:tx>
            <c:v>Uten filter</c:v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Målinger!$C$119:$C$127</c:f>
              <c:numCache>
                <c:formatCode>General</c:formatCode>
                <c:ptCount val="9"/>
              </c:numCache>
            </c:numRef>
          </c:xVal>
          <c:yVal>
            <c:numRef>
              <c:f>Målinger!$H$119:$H$127</c:f>
              <c:numCache>
                <c:formatCode>0.0\ 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2-4942-A742-A109648ECAC3}"/>
            </c:ext>
          </c:extLst>
        </c:ser>
        <c:ser>
          <c:idx val="1"/>
          <c:order val="1"/>
          <c:tx>
            <c:v>Med int.filter</c:v>
          </c:tx>
          <c:spPr>
            <a:ln w="28575">
              <a:noFill/>
            </a:ln>
          </c:spPr>
          <c:xVal>
            <c:numRef>
              <c:f>Målinger!$C$128:$C$130</c:f>
              <c:numCache>
                <c:formatCode>General</c:formatCode>
                <c:ptCount val="3"/>
              </c:numCache>
            </c:numRef>
          </c:xVal>
          <c:yVal>
            <c:numRef>
              <c:f>Målinger!$H$128:$H$130</c:f>
              <c:numCache>
                <c:formatCode>0.0\ 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2-4942-A742-A109648E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73856"/>
        <c:axId val="111275392"/>
      </c:scatterChart>
      <c:valAx>
        <c:axId val="111273856"/>
        <c:scaling>
          <c:orientation val="minMax"/>
          <c:max val="15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11275392"/>
        <c:crosses val="autoZero"/>
        <c:crossBetween val="midCat"/>
        <c:majorUnit val="10"/>
      </c:valAx>
      <c:valAx>
        <c:axId val="111275392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111273856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416998673130604"/>
          <c:y val="0.20609249510881741"/>
          <c:w val="0.40820549631663205"/>
          <c:h val="9.8182170294520171E-2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Stråleutbytte</a:t>
            </a:r>
            <a:r>
              <a:rPr lang="nb-NO" baseline="0"/>
              <a:t> vs. </a:t>
            </a:r>
            <a:r>
              <a:rPr lang="nb-NO"/>
              <a:t>kV</a:t>
            </a:r>
            <a:r>
              <a:rPr lang="nb-NO" baseline="30000"/>
              <a:t>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Målinger!$AM$5</c:f>
              <c:strCache>
                <c:ptCount val="1"/>
                <c:pt idx="0">
                  <c:v>FF</c:v>
                </c:pt>
              </c:strCache>
            </c:strRef>
          </c:tx>
          <c:trendline>
            <c:trendlineType val="linear"/>
            <c:dispRSqr val="0"/>
            <c:dispEq val="0"/>
          </c:trendline>
          <c:xVal>
            <c:numRef>
              <c:f>Målinger!$AN$7:$AN$13</c:f>
              <c:numCache>
                <c:formatCode>General</c:formatCode>
                <c:ptCount val="7"/>
                <c:pt idx="0">
                  <c:v>2500</c:v>
                </c:pt>
                <c:pt idx="1">
                  <c:v>3600</c:v>
                </c:pt>
                <c:pt idx="2">
                  <c:v>4900</c:v>
                </c:pt>
                <c:pt idx="3">
                  <c:v>6561</c:v>
                </c:pt>
                <c:pt idx="4">
                  <c:v>8100</c:v>
                </c:pt>
                <c:pt idx="5">
                  <c:v>11881</c:v>
                </c:pt>
                <c:pt idx="6">
                  <c:v>15625</c:v>
                </c:pt>
              </c:numCache>
            </c:numRef>
          </c:xVal>
          <c:yVal>
            <c:numRef>
              <c:f>Målinger!$AO$7:$AO$13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FE-430D-A82B-F1F7AD81B5EA}"/>
            </c:ext>
          </c:extLst>
        </c:ser>
        <c:ser>
          <c:idx val="1"/>
          <c:order val="1"/>
          <c:tx>
            <c:strRef>
              <c:f>Målinger!$AP$5</c:f>
              <c:strCache>
                <c:ptCount val="1"/>
                <c:pt idx="0">
                  <c:v>GF</c:v>
                </c:pt>
              </c:strCache>
            </c:strRef>
          </c:tx>
          <c:trendline>
            <c:trendlineType val="linear"/>
            <c:dispRSqr val="0"/>
            <c:dispEq val="0"/>
          </c:trendline>
          <c:xVal>
            <c:numRef>
              <c:f>Målinger!$AQ$7:$AQ$13</c:f>
              <c:numCache>
                <c:formatCode>General</c:formatCode>
                <c:ptCount val="7"/>
                <c:pt idx="0">
                  <c:v>2500</c:v>
                </c:pt>
                <c:pt idx="1">
                  <c:v>3600</c:v>
                </c:pt>
                <c:pt idx="2">
                  <c:v>4900</c:v>
                </c:pt>
                <c:pt idx="3">
                  <c:v>6561</c:v>
                </c:pt>
                <c:pt idx="4">
                  <c:v>8100</c:v>
                </c:pt>
                <c:pt idx="5">
                  <c:v>11881</c:v>
                </c:pt>
                <c:pt idx="6">
                  <c:v>15625</c:v>
                </c:pt>
              </c:numCache>
            </c:numRef>
          </c:xVal>
          <c:yVal>
            <c:numRef>
              <c:f>Målinger!$AR$7:$AR$13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FE-430D-A82B-F1F7AD81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06144"/>
        <c:axId val="43208064"/>
      </c:scatterChart>
      <c:valAx>
        <c:axId val="432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kV</a:t>
                </a:r>
                <a:r>
                  <a:rPr lang="nb-NO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0.70508475339471033"/>
              <c:y val="0.878597281821026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3208064"/>
        <c:crosses val="autoZero"/>
        <c:crossBetween val="midCat"/>
      </c:valAx>
      <c:valAx>
        <c:axId val="43208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µGy/mAs</a:t>
                </a:r>
              </a:p>
            </c:rich>
          </c:tx>
          <c:layout>
            <c:manualLayout>
              <c:xMode val="edge"/>
              <c:yMode val="edge"/>
              <c:x val="8.5625268547008984E-2"/>
              <c:y val="7.086978710994457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3206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601001112825163"/>
          <c:y val="0.39046768806905702"/>
          <c:w val="0.20059548529062912"/>
          <c:h val="0.334595425652927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baseline="0"/>
              <a:t>Dose vs. mA</a:t>
            </a:r>
            <a:endParaRPr lang="nb-NO" baseline="300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Målinger!$AV$5</c:f>
              <c:strCache>
                <c:ptCount val="1"/>
                <c:pt idx="0">
                  <c:v>FF</c:v>
                </c:pt>
              </c:strCache>
            </c:strRef>
          </c:tx>
          <c:trendline>
            <c:trendlineType val="linear"/>
            <c:dispRSqr val="0"/>
            <c:dispEq val="0"/>
          </c:trendline>
          <c:xVal>
            <c:numRef>
              <c:f>Målinger!$AV$7:$AV$10</c:f>
              <c:numCache>
                <c:formatCode>General</c:formatCode>
                <c:ptCount val="4"/>
                <c:pt idx="0">
                  <c:v>200</c:v>
                </c:pt>
                <c:pt idx="1">
                  <c:v>50</c:v>
                </c:pt>
                <c:pt idx="2">
                  <c:v>100</c:v>
                </c:pt>
                <c:pt idx="3">
                  <c:v>250</c:v>
                </c:pt>
              </c:numCache>
            </c:numRef>
          </c:xVal>
          <c:yVal>
            <c:numRef>
              <c:f>Målinger!$AW$7:$AW$10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2-40BD-A027-89296D20CF92}"/>
            </c:ext>
          </c:extLst>
        </c:ser>
        <c:ser>
          <c:idx val="1"/>
          <c:order val="1"/>
          <c:tx>
            <c:strRef>
              <c:f>Målinger!$AX$5</c:f>
              <c:strCache>
                <c:ptCount val="1"/>
                <c:pt idx="0">
                  <c:v>GF</c:v>
                </c:pt>
              </c:strCache>
            </c:strRef>
          </c:tx>
          <c:trendline>
            <c:trendlineType val="linear"/>
            <c:dispRSqr val="0"/>
            <c:dispEq val="0"/>
          </c:trendline>
          <c:xVal>
            <c:numRef>
              <c:f>Målinger!$AX$7:$AX$11</c:f>
              <c:numCache>
                <c:formatCode>General</c:formatCode>
                <c:ptCount val="5"/>
                <c:pt idx="0">
                  <c:v>200</c:v>
                </c:pt>
                <c:pt idx="1">
                  <c:v>50</c:v>
                </c:pt>
                <c:pt idx="2">
                  <c:v>100</c:v>
                </c:pt>
                <c:pt idx="3">
                  <c:v>250</c:v>
                </c:pt>
                <c:pt idx="4">
                  <c:v>400</c:v>
                </c:pt>
              </c:numCache>
            </c:numRef>
          </c:xVal>
          <c:yVal>
            <c:numRef>
              <c:f>Målinger!$AY$7:$AY$11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2-40BD-A027-89296D20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5760"/>
        <c:axId val="43136128"/>
      </c:scatterChart>
      <c:valAx>
        <c:axId val="431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 baseline="0"/>
                  <a:t>mA</a:t>
                </a:r>
                <a:endParaRPr lang="nb-NO" baseline="30000"/>
              </a:p>
            </c:rich>
          </c:tx>
          <c:layout>
            <c:manualLayout>
              <c:xMode val="edge"/>
              <c:yMode val="edge"/>
              <c:x val="0.71808169982866543"/>
              <c:y val="0.90635238564587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3136128"/>
        <c:crosses val="autoZero"/>
        <c:crossBetween val="midCat"/>
      </c:valAx>
      <c:valAx>
        <c:axId val="431361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µGy</a:t>
                </a:r>
              </a:p>
            </c:rich>
          </c:tx>
          <c:layout>
            <c:manualLayout>
              <c:xMode val="edge"/>
              <c:yMode val="edge"/>
              <c:x val="8.5625268547008984E-2"/>
              <c:y val="7.086978710994457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3125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Bord</a:t>
            </a:r>
            <a:r>
              <a:rPr lang="en-US" sz="1200" baseline="0"/>
              <a:t> </a:t>
            </a:r>
            <a:r>
              <a:rPr lang="en-US" sz="1200"/>
              <a:t>AEC detektordose midtkammer ved ulike kV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Målinger!$N$86:$N$87</c:f>
              <c:strCache>
                <c:ptCount val="2"/>
                <c:pt idx="0">
                  <c:v>Sjekk av kV-korreksjon midtkammer</c:v>
                </c:pt>
                <c:pt idx="1">
                  <c:v>og 1 mm Cu</c:v>
                </c:pt>
              </c:strCache>
            </c:strRef>
          </c:tx>
          <c:xVal>
            <c:numRef>
              <c:f>Målinger!$N$62:$N$65</c:f>
              <c:numCache>
                <c:formatCode>0</c:formatCode>
                <c:ptCount val="4"/>
                <c:pt idx="0">
                  <c:v>66</c:v>
                </c:pt>
                <c:pt idx="1">
                  <c:v>73</c:v>
                </c:pt>
                <c:pt idx="2">
                  <c:v>102</c:v>
                </c:pt>
                <c:pt idx="3">
                  <c:v>117</c:v>
                </c:pt>
              </c:numCache>
            </c:numRef>
          </c:xVal>
          <c:yVal>
            <c:numRef>
              <c:f>Målinger!$O$62:$O$65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25-48F0-90D5-5183BFCA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86432"/>
        <c:axId val="43266048"/>
      </c:scatterChart>
      <c:valAx>
        <c:axId val="43186432"/>
        <c:scaling>
          <c:orientation val="minMax"/>
          <c:min val="60"/>
        </c:scaling>
        <c:delete val="0"/>
        <c:axPos val="b"/>
        <c:numFmt formatCode="0" sourceLinked="1"/>
        <c:majorTickMark val="out"/>
        <c:minorTickMark val="none"/>
        <c:tickLblPos val="nextTo"/>
        <c:crossAx val="43266048"/>
        <c:crosses val="autoZero"/>
        <c:crossBetween val="midCat"/>
      </c:valAx>
      <c:valAx>
        <c:axId val="432660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µGy</a:t>
                </a:r>
              </a:p>
            </c:rich>
          </c:tx>
          <c:layout>
            <c:manualLayout>
              <c:xMode val="edge"/>
              <c:yMode val="edge"/>
              <c:x val="6.5007336303505719E-2"/>
              <c:y val="0.1266881948578441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3186432"/>
        <c:crosses val="autoZero"/>
        <c:crossBetween val="midCat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Vegg</a:t>
            </a:r>
            <a:r>
              <a:rPr lang="en-US" sz="1200" baseline="0"/>
              <a:t> </a:t>
            </a:r>
            <a:r>
              <a:rPr lang="en-US" sz="1200"/>
              <a:t>AEC detektordose midtkammer ved ulike kV </a:t>
            </a:r>
          </a:p>
        </c:rich>
      </c:tx>
      <c:layout>
        <c:manualLayout>
          <c:xMode val="edge"/>
          <c:yMode val="edge"/>
          <c:x val="0.14970319372820587"/>
          <c:y val="6.601941074643520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Målinger!$N$86:$N$87</c:f>
              <c:strCache>
                <c:ptCount val="2"/>
                <c:pt idx="0">
                  <c:v>Sjekk av kV-korreksjon midtkammer</c:v>
                </c:pt>
                <c:pt idx="1">
                  <c:v>og 1 mm Cu</c:v>
                </c:pt>
              </c:strCache>
            </c:strRef>
          </c:tx>
          <c:xVal>
            <c:numRef>
              <c:f>Målinger!$N$89:$N$92</c:f>
              <c:numCache>
                <c:formatCode>0</c:formatCode>
                <c:ptCount val="4"/>
                <c:pt idx="0">
                  <c:v>73</c:v>
                </c:pt>
                <c:pt idx="1">
                  <c:v>90</c:v>
                </c:pt>
                <c:pt idx="2">
                  <c:v>109</c:v>
                </c:pt>
                <c:pt idx="3">
                  <c:v>117</c:v>
                </c:pt>
              </c:numCache>
            </c:numRef>
          </c:xVal>
          <c:yVal>
            <c:numRef>
              <c:f>Målinger!$O$89:$O$92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2-4B20-8642-191BE866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1024"/>
        <c:axId val="43362560"/>
      </c:scatterChart>
      <c:valAx>
        <c:axId val="43361024"/>
        <c:scaling>
          <c:orientation val="minMax"/>
          <c:min val="60"/>
        </c:scaling>
        <c:delete val="0"/>
        <c:axPos val="b"/>
        <c:numFmt formatCode="0" sourceLinked="1"/>
        <c:majorTickMark val="out"/>
        <c:minorTickMark val="none"/>
        <c:tickLblPos val="nextTo"/>
        <c:crossAx val="43362560"/>
        <c:crosses val="autoZero"/>
        <c:crossBetween val="midCat"/>
      </c:valAx>
      <c:valAx>
        <c:axId val="433625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µGy</a:t>
                </a:r>
              </a:p>
            </c:rich>
          </c:tx>
          <c:layout>
            <c:manualLayout>
              <c:xMode val="edge"/>
              <c:yMode val="edge"/>
              <c:x val="6.5007336303505719E-2"/>
              <c:y val="0.1266881948578441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3361024"/>
        <c:crosses val="autoZero"/>
        <c:crossBetween val="midCat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5.8572442107956597E-3"/>
                  <c:y val="-0.20868532604381765"/>
                </c:manualLayout>
              </c:layout>
              <c:numFmt formatCode="General" sourceLinked="0"/>
            </c:trendlineLbl>
          </c:trendline>
          <c:xVal>
            <c:numRef>
              <c:f>'DAP koeffisienter'!$A$15:$A$26</c:f>
              <c:numCache>
                <c:formatCode>General</c:formatCode>
                <c:ptCount val="12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</c:numCache>
            </c:numRef>
          </c:xVal>
          <c:yVal>
            <c:numRef>
              <c:f>'DAP koeffisienter'!$B$15:$B$26</c:f>
              <c:numCache>
                <c:formatCode>0.00</c:formatCode>
                <c:ptCount val="12"/>
                <c:pt idx="0">
                  <c:v>1.3448557422969181</c:v>
                </c:pt>
                <c:pt idx="1">
                  <c:v>1.2539751400560224</c:v>
                </c:pt>
                <c:pt idx="2">
                  <c:v>1.1912647058823531</c:v>
                </c:pt>
                <c:pt idx="3">
                  <c:v>1.1528347338935576</c:v>
                </c:pt>
                <c:pt idx="4">
                  <c:v>1.1347955182072829</c:v>
                </c:pt>
                <c:pt idx="5">
                  <c:v>1.1332573529411769</c:v>
                </c:pt>
                <c:pt idx="6">
                  <c:v>1.1443305322128854</c:v>
                </c:pt>
                <c:pt idx="7">
                  <c:v>1.1641253501400564</c:v>
                </c:pt>
                <c:pt idx="8">
                  <c:v>1.1887521008403361</c:v>
                </c:pt>
                <c:pt idx="9">
                  <c:v>1.2143210784313729</c:v>
                </c:pt>
                <c:pt idx="10">
                  <c:v>1.236942577030812</c:v>
                </c:pt>
                <c:pt idx="11">
                  <c:v>1.2527268907563025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CD-4B7E-BC0F-476874AF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0464"/>
        <c:axId val="44432000"/>
      </c:scatterChart>
      <c:valAx>
        <c:axId val="44430464"/>
        <c:scaling>
          <c:orientation val="minMax"/>
          <c:max val="16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44432000"/>
        <c:crosses val="autoZero"/>
        <c:crossBetween val="midCat"/>
      </c:valAx>
      <c:valAx>
        <c:axId val="44432000"/>
        <c:scaling>
          <c:orientation val="minMax"/>
          <c:min val="0.9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430464"/>
        <c:crosses val="autoZero"/>
        <c:crossBetween val="midCat"/>
        <c:majorUnit val="5.000000000000001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15</xdr:row>
      <xdr:rowOff>0</xdr:rowOff>
    </xdr:from>
    <xdr:to>
      <xdr:col>47</xdr:col>
      <xdr:colOff>11205</xdr:colOff>
      <xdr:row>33</xdr:row>
      <xdr:rowOff>112059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123265</xdr:colOff>
      <xdr:row>14</xdr:row>
      <xdr:rowOff>134471</xdr:rowOff>
    </xdr:from>
    <xdr:to>
      <xdr:col>55</xdr:col>
      <xdr:colOff>168086</xdr:colOff>
      <xdr:row>33</xdr:row>
      <xdr:rowOff>100853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39781</xdr:colOff>
      <xdr:row>131</xdr:row>
      <xdr:rowOff>60512</xdr:rowOff>
    </xdr:from>
    <xdr:to>
      <xdr:col>11</xdr:col>
      <xdr:colOff>521634</xdr:colOff>
      <xdr:row>148</xdr:row>
      <xdr:rowOff>94130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651062</xdr:colOff>
      <xdr:row>131</xdr:row>
      <xdr:rowOff>41461</xdr:rowOff>
    </xdr:from>
    <xdr:to>
      <xdr:col>14</xdr:col>
      <xdr:colOff>47625</xdr:colOff>
      <xdr:row>137</xdr:row>
      <xdr:rowOff>76200</xdr:rowOff>
    </xdr:to>
    <xdr:sp macro="" textlink="">
      <xdr:nvSpPr>
        <xdr:cNvPr id="8" name="Text Box 51"/>
        <xdr:cNvSpPr txBox="1">
          <a:spLocks noChangeArrowheads="1"/>
        </xdr:cNvSpPr>
      </xdr:nvSpPr>
      <xdr:spPr bwMode="auto">
        <a:xfrm>
          <a:off x="8051987" y="19929661"/>
          <a:ext cx="1644463" cy="8919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Positivt avvik: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Utstyrets DAP &gt; Ref DAP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Negativt avvik: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Utstyrets DAP &lt; Ref DAP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247650</xdr:colOff>
      <xdr:row>86</xdr:row>
      <xdr:rowOff>33337</xdr:rowOff>
    </xdr:from>
    <xdr:to>
      <xdr:col>24</xdr:col>
      <xdr:colOff>600075</xdr:colOff>
      <xdr:row>96</xdr:row>
      <xdr:rowOff>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247650</xdr:colOff>
      <xdr:row>59</xdr:row>
      <xdr:rowOff>33337</xdr:rowOff>
    </xdr:from>
    <xdr:to>
      <xdr:col>24</xdr:col>
      <xdr:colOff>600075</xdr:colOff>
      <xdr:row>69</xdr:row>
      <xdr:rowOff>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441062</xdr:colOff>
      <xdr:row>177</xdr:row>
      <xdr:rowOff>48683</xdr:rowOff>
    </xdr:from>
    <xdr:to>
      <xdr:col>14</xdr:col>
      <xdr:colOff>707232</xdr:colOff>
      <xdr:row>196</xdr:row>
      <xdr:rowOff>80963</xdr:rowOff>
    </xdr:to>
    <xdr:pic>
      <xdr:nvPicPr>
        <xdr:cNvPr id="11" name="Bilde 10" descr="C:\Users\svenej-st\Pictures\test.pn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1987" y="27299708"/>
          <a:ext cx="3047470" cy="297550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7</xdr:col>
      <xdr:colOff>581025</xdr:colOff>
      <xdr:row>98</xdr:row>
      <xdr:rowOff>85725</xdr:rowOff>
    </xdr:from>
    <xdr:to>
      <xdr:col>15</xdr:col>
      <xdr:colOff>466727</xdr:colOff>
      <xdr:row>113</xdr:row>
      <xdr:rowOff>104775</xdr:rowOff>
    </xdr:to>
    <xdr:grpSp>
      <xdr:nvGrpSpPr>
        <xdr:cNvPr id="10" name="Gruppe 9"/>
        <xdr:cNvGrpSpPr/>
      </xdr:nvGrpSpPr>
      <xdr:grpSpPr>
        <a:xfrm>
          <a:off x="5038725" y="15144750"/>
          <a:ext cx="6381752" cy="2247900"/>
          <a:chOff x="4800598" y="14439900"/>
          <a:chExt cx="4924427" cy="2247900"/>
        </a:xfrm>
      </xdr:grpSpPr>
      <xdr:grpSp>
        <xdr:nvGrpSpPr>
          <xdr:cNvPr id="12" name="Gruppe 11"/>
          <xdr:cNvGrpSpPr/>
        </xdr:nvGrpSpPr>
        <xdr:grpSpPr>
          <a:xfrm>
            <a:off x="5934075" y="14439900"/>
            <a:ext cx="3790950" cy="2247900"/>
            <a:chOff x="5962650" y="14325600"/>
            <a:chExt cx="3790950" cy="2247900"/>
          </a:xfrm>
        </xdr:grpSpPr>
        <xdr:grpSp>
          <xdr:nvGrpSpPr>
            <xdr:cNvPr id="14" name="Gruppe 13"/>
            <xdr:cNvGrpSpPr/>
          </xdr:nvGrpSpPr>
          <xdr:grpSpPr>
            <a:xfrm>
              <a:off x="6219825" y="14325600"/>
              <a:ext cx="3467100" cy="2171700"/>
              <a:chOff x="6219825" y="14430375"/>
              <a:chExt cx="3467100" cy="2171700"/>
            </a:xfrm>
          </xdr:grpSpPr>
          <xdr:grpSp>
            <xdr:nvGrpSpPr>
              <xdr:cNvPr id="19" name="Gruppe 18"/>
              <xdr:cNvGrpSpPr/>
            </xdr:nvGrpSpPr>
            <xdr:grpSpPr>
              <a:xfrm>
                <a:off x="6286501" y="14478000"/>
                <a:ext cx="3305174" cy="2057400"/>
                <a:chOff x="6286501" y="14487525"/>
                <a:chExt cx="3305174" cy="2057400"/>
              </a:xfrm>
            </xdr:grpSpPr>
            <xdr:grpSp>
              <xdr:nvGrpSpPr>
                <xdr:cNvPr id="33" name="Gruppe 32"/>
                <xdr:cNvGrpSpPr/>
              </xdr:nvGrpSpPr>
              <xdr:grpSpPr>
                <a:xfrm>
                  <a:off x="6638925" y="14716125"/>
                  <a:ext cx="2781300" cy="1609725"/>
                  <a:chOff x="6638925" y="14716125"/>
                  <a:chExt cx="2781300" cy="1609725"/>
                </a:xfrm>
              </xdr:grpSpPr>
              <xdr:sp macro="" textlink="">
                <xdr:nvSpPr>
                  <xdr:cNvPr id="36" name="Rektangel 35"/>
                  <xdr:cNvSpPr/>
                </xdr:nvSpPr>
                <xdr:spPr bwMode="auto">
                  <a:xfrm>
                    <a:off x="6638925" y="14925675"/>
                    <a:ext cx="2371725" cy="1400175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9"/>
                  </a:solidFill>
                  <a:ln w="9525" cap="flat" cmpd="sng" algn="ctr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  <xdr:txBody>
                  <a:bodyPr vertOverflow="clip" horzOverflow="clip" wrap="square" lIns="18288" tIns="0" rIns="0" bIns="0" rtlCol="0" anchor="t" upright="1"/>
                  <a:lstStyle/>
                  <a:p>
                    <a:pPr algn="l"/>
                    <a:endParaRPr lang="nb-NO" sz="1100"/>
                  </a:p>
                </xdr:txBody>
              </xdr:sp>
              <xdr:grpSp>
                <xdr:nvGrpSpPr>
                  <xdr:cNvPr id="37" name="Gruppe 36"/>
                  <xdr:cNvGrpSpPr/>
                </xdr:nvGrpSpPr>
                <xdr:grpSpPr>
                  <a:xfrm>
                    <a:off x="7115177" y="14716125"/>
                    <a:ext cx="2305048" cy="1552575"/>
                    <a:chOff x="7115177" y="14716125"/>
                    <a:chExt cx="2305048" cy="1552575"/>
                  </a:xfrm>
                </xdr:grpSpPr>
                <xdr:cxnSp macro="">
                  <xdr:nvCxnSpPr>
                    <xdr:cNvPr id="38" name="Rett linje 37"/>
                    <xdr:cNvCxnSpPr/>
                  </xdr:nvCxnSpPr>
                  <xdr:spPr bwMode="auto">
                    <a:xfrm flipH="1">
                      <a:off x="7115177" y="14716125"/>
                      <a:ext cx="209548" cy="1457325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9525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39" name="Rett linje 38"/>
                    <xdr:cNvCxnSpPr/>
                  </xdr:nvCxnSpPr>
                  <xdr:spPr bwMode="auto">
                    <a:xfrm flipH="1" flipV="1">
                      <a:off x="7324728" y="14725650"/>
                      <a:ext cx="2095497" cy="85725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9525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40" name="Rett linje 39"/>
                    <xdr:cNvCxnSpPr/>
                  </xdr:nvCxnSpPr>
                  <xdr:spPr bwMode="auto">
                    <a:xfrm flipH="1">
                      <a:off x="9220202" y="14820900"/>
                      <a:ext cx="190498" cy="144780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9525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41" name="Rett linje 40"/>
                    <xdr:cNvCxnSpPr/>
                  </xdr:nvCxnSpPr>
                  <xdr:spPr bwMode="auto">
                    <a:xfrm flipH="1" flipV="1">
                      <a:off x="7115178" y="16173450"/>
                      <a:ext cx="2095497" cy="85725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9525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</xdr:grpSp>
            </xdr:grpSp>
            <xdr:cxnSp macro="">
              <xdr:nvCxnSpPr>
                <xdr:cNvPr id="34" name="Rett linje 33"/>
                <xdr:cNvCxnSpPr/>
              </xdr:nvCxnSpPr>
              <xdr:spPr bwMode="auto">
                <a:xfrm>
                  <a:off x="7810500" y="14487525"/>
                  <a:ext cx="28575" cy="2057400"/>
                </a:xfrm>
                <a:prstGeom prst="line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ln w="9525" cap="flat" cmpd="sng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 type="none" w="med" len="med"/>
                  <a:tailEnd type="none" w="med" len="med"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cxnSp>
            <xdr:cxnSp macro="">
              <xdr:nvCxnSpPr>
                <xdr:cNvPr id="35" name="Rett linje 34"/>
                <xdr:cNvCxnSpPr/>
              </xdr:nvCxnSpPr>
              <xdr:spPr bwMode="auto">
                <a:xfrm flipH="1">
                  <a:off x="6286501" y="15659100"/>
                  <a:ext cx="3305174" cy="28575"/>
                </a:xfrm>
                <a:prstGeom prst="line">
                  <a:avLst/>
                </a:prstGeom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ln w="9525" cap="flat" cmpd="sng" algn="ctr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prstDash val="dash"/>
                  <a:round/>
                  <a:headEnd type="none" w="med" len="med"/>
                  <a:tailEnd type="none" w="med" len="med"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</xdr:cxnSp>
          </xdr:grpSp>
          <xdr:cxnSp macro="">
            <xdr:nvCxnSpPr>
              <xdr:cNvPr id="20" name="Rett linje 19"/>
              <xdr:cNvCxnSpPr/>
            </xdr:nvCxnSpPr>
            <xdr:spPr bwMode="auto">
              <a:xfrm flipH="1">
                <a:off x="6219825" y="16306800"/>
                <a:ext cx="342900" cy="2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1" name="Rett linje 20"/>
              <xdr:cNvCxnSpPr/>
            </xdr:nvCxnSpPr>
            <xdr:spPr bwMode="auto">
              <a:xfrm flipH="1" flipV="1">
                <a:off x="6219825" y="16192500"/>
                <a:ext cx="1619250" cy="9526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2" name="Rett linje 21"/>
              <xdr:cNvCxnSpPr/>
            </xdr:nvCxnSpPr>
            <xdr:spPr bwMode="auto">
              <a:xfrm flipH="1" flipV="1">
                <a:off x="6629400" y="14430375"/>
                <a:ext cx="9525" cy="438150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3" name="Rett linje 22"/>
              <xdr:cNvCxnSpPr/>
            </xdr:nvCxnSpPr>
            <xdr:spPr bwMode="auto">
              <a:xfrm flipH="1" flipV="1">
                <a:off x="7200900" y="14458950"/>
                <a:ext cx="1" cy="1200150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4" name="Rett linje 23"/>
              <xdr:cNvCxnSpPr/>
            </xdr:nvCxnSpPr>
            <xdr:spPr bwMode="auto">
              <a:xfrm flipH="1">
                <a:off x="9058275" y="14916150"/>
                <a:ext cx="619125" cy="2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5" name="Rett linje 24"/>
              <xdr:cNvCxnSpPr/>
            </xdr:nvCxnSpPr>
            <xdr:spPr bwMode="auto">
              <a:xfrm flipH="1">
                <a:off x="7800976" y="14725650"/>
                <a:ext cx="1885949" cy="9527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6" name="Rett linje 25"/>
              <xdr:cNvCxnSpPr/>
            </xdr:nvCxnSpPr>
            <xdr:spPr bwMode="auto">
              <a:xfrm flipH="1" flipV="1">
                <a:off x="9010651" y="16363950"/>
                <a:ext cx="9524" cy="238125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7" name="Rett linje 26"/>
              <xdr:cNvCxnSpPr/>
            </xdr:nvCxnSpPr>
            <xdr:spPr bwMode="auto">
              <a:xfrm flipV="1">
                <a:off x="9315450" y="15649575"/>
                <a:ext cx="1" cy="952500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317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8" name="Rett pil 27"/>
              <xdr:cNvCxnSpPr/>
            </xdr:nvCxnSpPr>
            <xdr:spPr bwMode="auto">
              <a:xfrm flipV="1">
                <a:off x="6629400" y="14544675"/>
                <a:ext cx="561975" cy="9525"/>
              </a:xfrm>
              <a:prstGeom prst="straightConnector1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arrow" w="med" len="med"/>
                <a:tailEnd type="arrow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29" name="Rett pil 28"/>
              <xdr:cNvCxnSpPr/>
            </xdr:nvCxnSpPr>
            <xdr:spPr bwMode="auto">
              <a:xfrm flipV="1">
                <a:off x="9020175" y="16430625"/>
                <a:ext cx="304800" cy="9526"/>
              </a:xfrm>
              <a:prstGeom prst="straightConnector1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arrow" w="med" len="med"/>
                <a:tailEnd type="arrow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30" name="Rett pil 29"/>
              <xdr:cNvCxnSpPr/>
            </xdr:nvCxnSpPr>
            <xdr:spPr bwMode="auto">
              <a:xfrm>
                <a:off x="9563100" y="14725650"/>
                <a:ext cx="0" cy="200025"/>
              </a:xfrm>
              <a:prstGeom prst="straightConnector1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arrow" w="med" len="med"/>
                <a:tailEnd type="arrow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31" name="Rett pil 30"/>
              <xdr:cNvCxnSpPr/>
            </xdr:nvCxnSpPr>
            <xdr:spPr bwMode="auto">
              <a:xfrm flipH="1">
                <a:off x="6315075" y="15973425"/>
                <a:ext cx="9525" cy="200025"/>
              </a:xfrm>
              <a:prstGeom prst="straightConnector1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arrow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32" name="Rett pil 31"/>
              <xdr:cNvCxnSpPr/>
            </xdr:nvCxnSpPr>
            <xdr:spPr bwMode="auto">
              <a:xfrm flipV="1">
                <a:off x="6324600" y="16287751"/>
                <a:ext cx="0" cy="219074"/>
              </a:xfrm>
              <a:prstGeom prst="straightConnector1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round/>
                <a:headEnd type="none" w="med" len="med"/>
                <a:tailEnd type="arrow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</xdr:grpSp>
        <xdr:sp macro="" textlink="">
          <xdr:nvSpPr>
            <xdr:cNvPr id="15" name="TekstSylinder 14"/>
            <xdr:cNvSpPr txBox="1"/>
          </xdr:nvSpPr>
          <xdr:spPr>
            <a:xfrm>
              <a:off x="6734175" y="14497050"/>
              <a:ext cx="333375" cy="2000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nb-NO" sz="1100"/>
                <a:t>x</a:t>
              </a:r>
              <a:r>
                <a:rPr lang="nb-NO" sz="1000"/>
                <a:t>1</a:t>
              </a:r>
              <a:endParaRPr lang="nb-NO" sz="1100"/>
            </a:p>
          </xdr:txBody>
        </xdr:sp>
        <xdr:sp macro="" textlink="">
          <xdr:nvSpPr>
            <xdr:cNvPr id="16" name="TekstSylinder 15"/>
            <xdr:cNvSpPr txBox="1"/>
          </xdr:nvSpPr>
          <xdr:spPr>
            <a:xfrm>
              <a:off x="8991600" y="16373475"/>
              <a:ext cx="333375" cy="2000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nb-NO" sz="1100"/>
                <a:t>x</a:t>
              </a:r>
              <a:r>
                <a:rPr lang="nb-NO" sz="1000"/>
                <a:t>2</a:t>
              </a:r>
              <a:endParaRPr lang="nb-NO" sz="1100"/>
            </a:p>
          </xdr:txBody>
        </xdr:sp>
        <xdr:sp macro="" textlink="">
          <xdr:nvSpPr>
            <xdr:cNvPr id="17" name="TekstSylinder 16"/>
            <xdr:cNvSpPr txBox="1"/>
          </xdr:nvSpPr>
          <xdr:spPr>
            <a:xfrm>
              <a:off x="5962650" y="16011525"/>
              <a:ext cx="333375" cy="2000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nb-NO" sz="1100"/>
                <a:t>y</a:t>
              </a:r>
              <a:r>
                <a:rPr lang="nb-NO" sz="1000"/>
                <a:t>2</a:t>
              </a:r>
              <a:endParaRPr lang="nb-NO" sz="1100"/>
            </a:p>
          </xdr:txBody>
        </xdr:sp>
        <xdr:sp macro="" textlink="">
          <xdr:nvSpPr>
            <xdr:cNvPr id="18" name="TekstSylinder 17"/>
            <xdr:cNvSpPr txBox="1"/>
          </xdr:nvSpPr>
          <xdr:spPr>
            <a:xfrm>
              <a:off x="9391650" y="14392274"/>
              <a:ext cx="361950" cy="2000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nb-NO" sz="1100"/>
                <a:t>y</a:t>
              </a:r>
              <a:r>
                <a:rPr lang="nb-NO" sz="1000"/>
                <a:t>1</a:t>
              </a:r>
              <a:endParaRPr lang="nb-NO" sz="1100"/>
            </a:p>
          </xdr:txBody>
        </xdr:sp>
      </xdr:grpSp>
      <xdr:sp macro="" textlink="">
        <xdr:nvSpPr>
          <xdr:cNvPr id="13" name="TekstSylinder 12"/>
          <xdr:cNvSpPr txBox="1"/>
        </xdr:nvSpPr>
        <xdr:spPr>
          <a:xfrm>
            <a:off x="4800598" y="14535150"/>
            <a:ext cx="1724027" cy="800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900">
                <a:latin typeface="Arial" panose="020B0604020202020204" pitchFamily="34" charset="0"/>
                <a:cs typeface="Arial" panose="020B0604020202020204" pitchFamily="34" charset="0"/>
              </a:rPr>
              <a:t>Krav:</a:t>
            </a:r>
          </a:p>
          <a:p>
            <a:r>
              <a:rPr lang="nb-NO" sz="900">
                <a:latin typeface="Arial" panose="020B0604020202020204" pitchFamily="34" charset="0"/>
                <a:cs typeface="Arial" panose="020B0604020202020204" pitchFamily="34" charset="0"/>
              </a:rPr>
              <a:t>x1,x2,y1,y2 &lt;=1% av FFA</a:t>
            </a:r>
          </a:p>
          <a:p>
            <a:r>
              <a:rPr lang="nb-NO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|</a:t>
            </a:r>
            <a:r>
              <a:rPr lang="nb-NO" sz="900">
                <a:latin typeface="Arial" panose="020B0604020202020204" pitchFamily="34" charset="0"/>
                <a:cs typeface="Arial" panose="020B0604020202020204" pitchFamily="34" charset="0"/>
              </a:rPr>
              <a:t>x1</a:t>
            </a:r>
            <a:r>
              <a:rPr lang="nb-NO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|</a:t>
            </a:r>
            <a:r>
              <a:rPr lang="nb-NO" sz="900">
                <a:latin typeface="Arial" panose="020B0604020202020204" pitchFamily="34" charset="0"/>
                <a:cs typeface="Arial" panose="020B0604020202020204" pitchFamily="34" charset="0"/>
              </a:rPr>
              <a:t>+</a:t>
            </a:r>
            <a:r>
              <a:rPr lang="nb-NO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|</a:t>
            </a:r>
            <a:r>
              <a:rPr lang="nb-NO" sz="900">
                <a:latin typeface="Arial" panose="020B0604020202020204" pitchFamily="34" charset="0"/>
                <a:cs typeface="Arial" panose="020B0604020202020204" pitchFamily="34" charset="0"/>
              </a:rPr>
              <a:t>x2</a:t>
            </a:r>
            <a:r>
              <a:rPr lang="nb-NO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| &lt;=2% av FFA</a:t>
            </a:r>
            <a:endParaRPr lang="nb-NO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nb-NO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|y1|+|y2| &lt;=2% av FFA</a:t>
            </a:r>
            <a:endParaRPr lang="nb-NO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37</xdr:col>
      <xdr:colOff>44960</xdr:colOff>
      <xdr:row>73</xdr:row>
      <xdr:rowOff>18966</xdr:rowOff>
    </xdr:from>
    <xdr:to>
      <xdr:col>38</xdr:col>
      <xdr:colOff>398387</xdr:colOff>
      <xdr:row>79</xdr:row>
      <xdr:rowOff>100392</xdr:rowOff>
    </xdr:to>
    <xdr:pic>
      <xdr:nvPicPr>
        <xdr:cNvPr id="44" name="Bilde 4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323" b="38753"/>
        <a:stretch/>
      </xdr:blipFill>
      <xdr:spPr>
        <a:xfrm>
          <a:off x="29501023" y="11175122"/>
          <a:ext cx="805865" cy="108155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37</xdr:col>
      <xdr:colOff>57152</xdr:colOff>
      <xdr:row>83</xdr:row>
      <xdr:rowOff>71891</xdr:rowOff>
    </xdr:from>
    <xdr:to>
      <xdr:col>38</xdr:col>
      <xdr:colOff>397064</xdr:colOff>
      <xdr:row>89</xdr:row>
      <xdr:rowOff>120423</xdr:rowOff>
    </xdr:to>
    <xdr:pic>
      <xdr:nvPicPr>
        <xdr:cNvPr id="45" name="Bilde 4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846" b="30804"/>
        <a:stretch/>
      </xdr:blipFill>
      <xdr:spPr>
        <a:xfrm>
          <a:off x="29513215" y="12894922"/>
          <a:ext cx="792350" cy="10486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37</xdr:col>
      <xdr:colOff>31961</xdr:colOff>
      <xdr:row>47</xdr:row>
      <xdr:rowOff>2027</xdr:rowOff>
    </xdr:from>
    <xdr:ext cx="984941" cy="763605"/>
    <xdr:pic>
      <xdr:nvPicPr>
        <xdr:cNvPr id="46" name="Bilde 4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323" b="38753"/>
        <a:stretch/>
      </xdr:blipFill>
      <xdr:spPr>
        <a:xfrm rot="16200000">
          <a:off x="27370522" y="7062323"/>
          <a:ext cx="763605" cy="9849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twoCellAnchor editAs="oneCell">
    <xdr:from>
      <xdr:col>37</xdr:col>
      <xdr:colOff>36096</xdr:colOff>
      <xdr:row>55</xdr:row>
      <xdr:rowOff>164042</xdr:rowOff>
    </xdr:from>
    <xdr:to>
      <xdr:col>38</xdr:col>
      <xdr:colOff>571614</xdr:colOff>
      <xdr:row>60</xdr:row>
      <xdr:rowOff>113772</xdr:rowOff>
    </xdr:to>
    <xdr:pic>
      <xdr:nvPicPr>
        <xdr:cNvPr id="47" name="Bilde 4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846" b="30804"/>
        <a:stretch/>
      </xdr:blipFill>
      <xdr:spPr>
        <a:xfrm rot="16200000">
          <a:off x="29594553" y="8336492"/>
          <a:ext cx="783167" cy="98795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0.71457</cdr:x>
      <cdr:y>0.17343</cdr:y>
    </cdr:from>
    <cdr:to>
      <cdr:x>0.84174</cdr:x>
      <cdr:y>0.28027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3491220" y="476142"/>
          <a:ext cx="621338" cy="293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GF</a:t>
          </a:r>
        </a:p>
      </cdr:txBody>
    </cdr:sp>
  </cdr:relSizeAnchor>
  <cdr:relSizeAnchor xmlns:cdr="http://schemas.openxmlformats.org/drawingml/2006/chartDrawing">
    <cdr:from>
      <cdr:x>0.72235</cdr:x>
      <cdr:y>0.27493</cdr:y>
    </cdr:from>
    <cdr:to>
      <cdr:x>0.81881</cdr:x>
      <cdr:y>0.38177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3529231" y="754804"/>
          <a:ext cx="471269" cy="293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FF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0.71457</cdr:x>
      <cdr:y>0.17343</cdr:y>
    </cdr:from>
    <cdr:to>
      <cdr:x>0.83028</cdr:x>
      <cdr:y>0.28027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3491220" y="476142"/>
          <a:ext cx="565310" cy="293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GF</a:t>
          </a:r>
        </a:p>
      </cdr:txBody>
    </cdr:sp>
  </cdr:relSizeAnchor>
  <cdr:relSizeAnchor xmlns:cdr="http://schemas.openxmlformats.org/drawingml/2006/chartDrawing">
    <cdr:from>
      <cdr:x>0.72235</cdr:x>
      <cdr:y>0.27493</cdr:y>
    </cdr:from>
    <cdr:to>
      <cdr:x>0.83257</cdr:x>
      <cdr:y>0.36327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3529231" y="754804"/>
          <a:ext cx="538504" cy="24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FF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750869</xdr:colOff>
      <xdr:row>3</xdr:row>
      <xdr:rowOff>110434</xdr:rowOff>
    </xdr:from>
    <xdr:to>
      <xdr:col>5</xdr:col>
      <xdr:colOff>733425</xdr:colOff>
      <xdr:row>9</xdr:row>
      <xdr:rowOff>123825</xdr:rowOff>
    </xdr:to>
    <xdr:pic>
      <xdr:nvPicPr>
        <xdr:cNvPr id="2" name="Bild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323" b="38753"/>
        <a:stretch/>
      </xdr:blipFill>
      <xdr:spPr>
        <a:xfrm>
          <a:off x="4056044" y="605734"/>
          <a:ext cx="744556" cy="9849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742952</xdr:colOff>
      <xdr:row>12</xdr:row>
      <xdr:rowOff>9525</xdr:rowOff>
    </xdr:from>
    <xdr:to>
      <xdr:col>5</xdr:col>
      <xdr:colOff>723900</xdr:colOff>
      <xdr:row>18</xdr:row>
      <xdr:rowOff>114300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846" b="30804"/>
        <a:stretch/>
      </xdr:blipFill>
      <xdr:spPr>
        <a:xfrm>
          <a:off x="4048127" y="1962150"/>
          <a:ext cx="742948" cy="1076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4</xdr:col>
      <xdr:colOff>802126</xdr:colOff>
      <xdr:row>27</xdr:row>
      <xdr:rowOff>2027</xdr:rowOff>
    </xdr:from>
    <xdr:ext cx="984941" cy="763605"/>
    <xdr:pic>
      <xdr:nvPicPr>
        <xdr:cNvPr id="4" name="Bild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323" b="38753"/>
        <a:stretch/>
      </xdr:blipFill>
      <xdr:spPr>
        <a:xfrm rot="16200000">
          <a:off x="4694219" y="4291909"/>
          <a:ext cx="763605" cy="9849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twoCellAnchor editAs="oneCell">
    <xdr:from>
      <xdr:col>7</xdr:col>
      <xdr:colOff>486965</xdr:colOff>
      <xdr:row>24</xdr:row>
      <xdr:rowOff>23813</xdr:rowOff>
    </xdr:from>
    <xdr:to>
      <xdr:col>10</xdr:col>
      <xdr:colOff>490537</xdr:colOff>
      <xdr:row>43</xdr:row>
      <xdr:rowOff>0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382345" y="4320183"/>
          <a:ext cx="3052762" cy="2289572"/>
        </a:xfrm>
        <a:prstGeom prst="rect">
          <a:avLst/>
        </a:prstGeom>
      </xdr:spPr>
    </xdr:pic>
    <xdr:clientData/>
  </xdr:twoCellAnchor>
  <xdr:twoCellAnchor>
    <xdr:from>
      <xdr:col>9</xdr:col>
      <xdr:colOff>323850</xdr:colOff>
      <xdr:row>29</xdr:row>
      <xdr:rowOff>142875</xdr:rowOff>
    </xdr:from>
    <xdr:to>
      <xdr:col>10</xdr:col>
      <xdr:colOff>47625</xdr:colOff>
      <xdr:row>32</xdr:row>
      <xdr:rowOff>38100</xdr:rowOff>
    </xdr:to>
    <xdr:sp macro="" textlink="">
      <xdr:nvSpPr>
        <xdr:cNvPr id="6" name="Rektangel 5"/>
        <xdr:cNvSpPr/>
      </xdr:nvSpPr>
      <xdr:spPr bwMode="auto">
        <a:xfrm>
          <a:off x="8124825" y="4867275"/>
          <a:ext cx="485775" cy="381000"/>
        </a:xfrm>
        <a:prstGeom prst="rect">
          <a:avLst/>
        </a:prstGeom>
        <a:noFill/>
        <a:ln w="22225" cap="flat" cmpd="sng" algn="ctr">
          <a:solidFill>
            <a:srgbClr val="33CC33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 b="1">
            <a:solidFill>
              <a:srgbClr val="00B050"/>
            </a:solidFill>
          </a:endParaRPr>
        </a:p>
      </xdr:txBody>
    </xdr:sp>
    <xdr:clientData/>
  </xdr:twoCellAnchor>
  <xdr:twoCellAnchor>
    <xdr:from>
      <xdr:col>9</xdr:col>
      <xdr:colOff>414338</xdr:colOff>
      <xdr:row>30</xdr:row>
      <xdr:rowOff>71438</xdr:rowOff>
    </xdr:from>
    <xdr:to>
      <xdr:col>9</xdr:col>
      <xdr:colOff>738187</xdr:colOff>
      <xdr:row>32</xdr:row>
      <xdr:rowOff>4763</xdr:rowOff>
    </xdr:to>
    <xdr:sp macro="" textlink="">
      <xdr:nvSpPr>
        <xdr:cNvPr id="7" name="TekstSylinder 6"/>
        <xdr:cNvSpPr txBox="1"/>
      </xdr:nvSpPr>
      <xdr:spPr>
        <a:xfrm rot="16200000">
          <a:off x="8248650" y="4924426"/>
          <a:ext cx="25717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>
              <a:solidFill>
                <a:srgbClr val="33CC33"/>
              </a:solidFill>
            </a:rPr>
            <a:t>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124239</xdr:colOff>
      <xdr:row>23</xdr:row>
      <xdr:rowOff>41414</xdr:rowOff>
    </xdr:from>
    <xdr:to>
      <xdr:col>9</xdr:col>
      <xdr:colOff>604632</xdr:colOff>
      <xdr:row>38</xdr:row>
      <xdr:rowOff>24848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53542</xdr:colOff>
      <xdr:row>30</xdr:row>
      <xdr:rowOff>56031</xdr:rowOff>
    </xdr:from>
    <xdr:to>
      <xdr:col>9</xdr:col>
      <xdr:colOff>190501</xdr:colOff>
      <xdr:row>41</xdr:row>
      <xdr:rowOff>112059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25773</xdr:colOff>
      <xdr:row>44</xdr:row>
      <xdr:rowOff>91886</xdr:rowOff>
    </xdr:from>
    <xdr:to>
      <xdr:col>9</xdr:col>
      <xdr:colOff>235324</xdr:colOff>
      <xdr:row>56</xdr:row>
      <xdr:rowOff>67235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48</xdr:row>
      <xdr:rowOff>67236</xdr:rowOff>
    </xdr:from>
    <xdr:to>
      <xdr:col>8</xdr:col>
      <xdr:colOff>403410</xdr:colOff>
      <xdr:row>55</xdr:row>
      <xdr:rowOff>56029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48</xdr:row>
      <xdr:rowOff>67236</xdr:rowOff>
    </xdr:from>
    <xdr:to>
      <xdr:col>8</xdr:col>
      <xdr:colOff>392205</xdr:colOff>
      <xdr:row>55</xdr:row>
      <xdr:rowOff>78442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45</xdr:row>
      <xdr:rowOff>133350</xdr:rowOff>
    </xdr:from>
    <xdr:to>
      <xdr:col>7</xdr:col>
      <xdr:colOff>228600</xdr:colOff>
      <xdr:row>57</xdr:row>
      <xdr:rowOff>19050</xdr:rowOff>
    </xdr:to>
    <xdr:pic>
      <xdr:nvPicPr>
        <xdr:cNvPr id="13" name="Bild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7591425"/>
          <a:ext cx="2438400" cy="1828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414130</xdr:colOff>
      <xdr:row>0</xdr:row>
      <xdr:rowOff>91108</xdr:rowOff>
    </xdr:from>
    <xdr:to>
      <xdr:col>11</xdr:col>
      <xdr:colOff>347870</xdr:colOff>
      <xdr:row>5</xdr:row>
      <xdr:rowOff>107673</xdr:rowOff>
    </xdr:to>
    <xdr:sp macro="" textlink="">
      <xdr:nvSpPr>
        <xdr:cNvPr id="2" name="TekstSylinder 1"/>
        <xdr:cNvSpPr txBox="1"/>
      </xdr:nvSpPr>
      <xdr:spPr>
        <a:xfrm>
          <a:off x="5284304" y="91108"/>
          <a:ext cx="3743740" cy="7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NB! Ved ev</a:t>
          </a:r>
          <a:r>
            <a:rPr lang="nb-NO" sz="1100" baseline="0"/>
            <a:t> </a:t>
          </a:r>
          <a:r>
            <a:rPr lang="nb-NO" sz="1100"/>
            <a:t>endring av toleranser </a:t>
          </a:r>
          <a:r>
            <a:rPr lang="nb-NO" sz="1100" baseline="0"/>
            <a:t>holder det å forandre demkun i dette ark. Celler i øvrige ark er linket hit og vil automatisk bli oppdaterte.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266701</xdr:colOff>
      <xdr:row>1</xdr:row>
      <xdr:rowOff>19050</xdr:rowOff>
    </xdr:from>
    <xdr:to>
      <xdr:col>9</xdr:col>
      <xdr:colOff>361950</xdr:colOff>
      <xdr:row>12</xdr:row>
      <xdr:rowOff>8309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6" y="285750"/>
          <a:ext cx="3990974" cy="2122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13</xdr:row>
      <xdr:rowOff>4762</xdr:rowOff>
    </xdr:from>
    <xdr:to>
      <xdr:col>10</xdr:col>
      <xdr:colOff>733425</xdr:colOff>
      <xdr:row>26</xdr:row>
      <xdr:rowOff>66675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95250</xdr:colOff>
      <xdr:row>2</xdr:row>
      <xdr:rowOff>104775</xdr:rowOff>
    </xdr:from>
    <xdr:to>
      <xdr:col>14</xdr:col>
      <xdr:colOff>114300</xdr:colOff>
      <xdr:row>9</xdr:row>
      <xdr:rowOff>85725</xdr:rowOff>
    </xdr:to>
    <xdr:sp macro="" textlink="">
      <xdr:nvSpPr>
        <xdr:cNvPr id="2" name="TekstSylinder 1"/>
        <xdr:cNvSpPr txBox="1"/>
      </xdr:nvSpPr>
      <xdr:spPr>
        <a:xfrm>
          <a:off x="8115300" y="581025"/>
          <a:ext cx="31527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1"/>
            <a:t>NB! Kun de gule feltene</a:t>
          </a:r>
          <a:r>
            <a:rPr lang="nb-NO" sz="2000" b="1" baseline="0"/>
            <a:t> i arket </a:t>
          </a:r>
          <a:r>
            <a:rPr lang="nb-NO" sz="2000" b="1"/>
            <a:t>fylles i</a:t>
          </a:r>
          <a:r>
            <a:rPr lang="nb-NO" sz="2000" b="1" baseline="0"/>
            <a:t> da DAP meter har vært til kalibrering.</a:t>
          </a:r>
          <a:endParaRPr lang="nb-NO" sz="2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ySafe%20Radiographic%20Template%20A%20V2.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nformation"/>
      <sheetName val="Reproducibility"/>
      <sheetName val="Accuracy"/>
      <sheetName val="Linearity"/>
      <sheetName val="Hjelpfil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rgb="FF92D050"/>
  </sheetPr>
  <dimension ref="A1:AF65"/>
  <sheetViews>
    <sheetView zoomScaleNormal="100" workbookViewId="0">
      <selection activeCell="B21" sqref="B21"/>
    </sheetView>
  </sheetViews>
  <sheetFormatPr baseColWidth="10" defaultColWidth="11.42578125" defaultRowHeight="12.75" x14ac:dyDescent="0.2"/>
  <cols>
    <col min="1" max="1" width="30.5703125" style="545" customWidth="1"/>
    <col min="2" max="2" width="35.7109375" style="572" customWidth="1"/>
    <col min="3" max="9" width="11.42578125" style="545"/>
    <col min="10" max="10" width="17.140625" style="545" customWidth="1"/>
    <col min="11" max="16384" width="11.42578125" style="545"/>
  </cols>
  <sheetData>
    <row r="1" spans="1:22" x14ac:dyDescent="0.2">
      <c r="A1" s="544" t="s">
        <v>140</v>
      </c>
      <c r="B1" s="199" t="s">
        <v>142</v>
      </c>
      <c r="C1" s="549"/>
      <c r="D1" s="585" t="s">
        <v>177</v>
      </c>
      <c r="E1" s="586"/>
      <c r="F1" s="586"/>
      <c r="G1" s="586"/>
      <c r="H1" s="587"/>
      <c r="J1" s="546" t="s">
        <v>314</v>
      </c>
      <c r="K1" s="547" t="s">
        <v>293</v>
      </c>
      <c r="L1" s="547"/>
      <c r="M1" s="547"/>
      <c r="N1" s="548"/>
      <c r="O1" s="548"/>
      <c r="P1" s="548"/>
      <c r="Q1" s="548"/>
      <c r="R1" s="548"/>
      <c r="S1" s="548"/>
      <c r="T1" s="548"/>
      <c r="U1" s="549"/>
      <c r="V1" s="550"/>
    </row>
    <row r="2" spans="1:22" x14ac:dyDescent="0.2">
      <c r="A2" s="551" t="s">
        <v>27</v>
      </c>
      <c r="B2" s="201"/>
      <c r="D2" s="485"/>
      <c r="E2" s="486"/>
      <c r="F2" s="486"/>
      <c r="G2" s="486"/>
      <c r="H2" s="588"/>
      <c r="J2" s="552"/>
      <c r="K2" s="340" t="s">
        <v>295</v>
      </c>
      <c r="L2" s="340"/>
      <c r="M2" s="340"/>
      <c r="N2" s="340"/>
      <c r="O2" s="340"/>
      <c r="P2" s="340"/>
      <c r="Q2" s="340"/>
      <c r="R2" s="340"/>
      <c r="S2" s="340"/>
      <c r="T2" s="340"/>
      <c r="V2" s="553"/>
    </row>
    <row r="3" spans="1:22" x14ac:dyDescent="0.2">
      <c r="A3" s="554" t="s">
        <v>28</v>
      </c>
      <c r="B3" s="538"/>
      <c r="D3" s="485"/>
      <c r="E3" s="486"/>
      <c r="F3" s="486"/>
      <c r="G3" s="486"/>
      <c r="H3" s="588"/>
      <c r="J3" s="552"/>
      <c r="K3" s="555" t="s">
        <v>294</v>
      </c>
      <c r="L3" s="555"/>
      <c r="M3" s="555"/>
      <c r="N3" s="555"/>
      <c r="O3" s="340"/>
      <c r="P3" s="340"/>
      <c r="Q3" s="340"/>
      <c r="R3" s="340"/>
      <c r="S3" s="340"/>
      <c r="T3" s="340"/>
      <c r="V3" s="553"/>
    </row>
    <row r="4" spans="1:22" x14ac:dyDescent="0.2">
      <c r="A4" s="554" t="s">
        <v>162</v>
      </c>
      <c r="B4" s="538"/>
      <c r="D4" s="485"/>
      <c r="E4" s="486"/>
      <c r="F4" s="486"/>
      <c r="G4" s="486"/>
      <c r="H4" s="588"/>
      <c r="J4" s="552"/>
      <c r="K4" s="556" t="s">
        <v>297</v>
      </c>
      <c r="L4" s="556"/>
      <c r="M4" s="556"/>
      <c r="N4" s="556"/>
      <c r="O4" s="556"/>
      <c r="P4" s="556"/>
      <c r="Q4" s="340" t="s">
        <v>298</v>
      </c>
      <c r="R4" s="340"/>
      <c r="S4" s="340"/>
      <c r="T4" s="340"/>
      <c r="V4" s="553"/>
    </row>
    <row r="5" spans="1:22" ht="13.5" thickBot="1" x14ac:dyDescent="0.25">
      <c r="A5" s="554" t="s">
        <v>170</v>
      </c>
      <c r="B5" s="538"/>
      <c r="D5" s="485"/>
      <c r="E5" s="486"/>
      <c r="F5" s="486"/>
      <c r="G5" s="486"/>
      <c r="H5" s="588"/>
      <c r="J5" s="557"/>
      <c r="K5" s="340"/>
      <c r="L5" s="340"/>
      <c r="M5" s="340"/>
      <c r="N5" s="340"/>
      <c r="O5" s="340"/>
      <c r="P5" s="340"/>
      <c r="Q5" s="340"/>
      <c r="R5" s="340"/>
      <c r="S5" s="340"/>
      <c r="T5" s="340"/>
      <c r="V5" s="553"/>
    </row>
    <row r="6" spans="1:22" x14ac:dyDescent="0.2">
      <c r="A6" s="554" t="s">
        <v>163</v>
      </c>
      <c r="B6" s="538"/>
      <c r="D6" s="485"/>
      <c r="E6" s="486"/>
      <c r="F6" s="486"/>
      <c r="G6" s="486"/>
      <c r="H6" s="588"/>
      <c r="J6" s="597" t="s">
        <v>361</v>
      </c>
      <c r="K6" s="598"/>
      <c r="L6" s="548"/>
      <c r="M6" s="548"/>
      <c r="N6" s="548"/>
      <c r="O6" s="548"/>
      <c r="P6" s="548"/>
      <c r="Q6" s="548"/>
      <c r="R6" s="548"/>
      <c r="S6" s="548"/>
      <c r="T6" s="548"/>
      <c r="U6" s="549"/>
      <c r="V6" s="550"/>
    </row>
    <row r="7" spans="1:22" x14ac:dyDescent="0.2">
      <c r="A7" s="554" t="s">
        <v>147</v>
      </c>
      <c r="B7" s="538"/>
      <c r="D7" s="485"/>
      <c r="E7" s="486"/>
      <c r="F7" s="486"/>
      <c r="G7" s="486"/>
      <c r="H7" s="588"/>
      <c r="J7" s="581"/>
      <c r="K7" s="580" t="s">
        <v>299</v>
      </c>
      <c r="L7" s="340"/>
      <c r="M7" s="340"/>
      <c r="N7" s="340"/>
      <c r="O7" s="340"/>
      <c r="P7" s="340"/>
      <c r="Q7" s="340"/>
      <c r="R7" s="340"/>
      <c r="S7" s="340"/>
      <c r="T7" s="340"/>
      <c r="V7" s="553"/>
    </row>
    <row r="8" spans="1:22" x14ac:dyDescent="0.2">
      <c r="A8" s="554" t="s">
        <v>167</v>
      </c>
      <c r="B8" s="538"/>
      <c r="D8" s="485"/>
      <c r="E8" s="486"/>
      <c r="F8" s="486"/>
      <c r="G8" s="486"/>
      <c r="H8" s="588"/>
      <c r="J8" s="581"/>
      <c r="K8" s="580" t="s">
        <v>296</v>
      </c>
      <c r="L8" s="340"/>
      <c r="M8" s="340"/>
      <c r="N8" s="340"/>
      <c r="O8" s="340"/>
      <c r="P8" s="340"/>
      <c r="Q8" s="340"/>
      <c r="R8" s="340"/>
      <c r="S8" s="340"/>
      <c r="T8" s="340"/>
      <c r="V8" s="553"/>
    </row>
    <row r="9" spans="1:22" x14ac:dyDescent="0.2">
      <c r="A9" s="554" t="s">
        <v>168</v>
      </c>
      <c r="B9" s="538"/>
      <c r="D9" s="485"/>
      <c r="E9" s="486"/>
      <c r="F9" s="486"/>
      <c r="G9" s="486"/>
      <c r="H9" s="588"/>
      <c r="J9" s="581"/>
      <c r="K9" s="581"/>
      <c r="L9" s="340" t="s">
        <v>360</v>
      </c>
      <c r="M9" s="340"/>
      <c r="N9" s="340"/>
      <c r="O9" s="340"/>
      <c r="P9" s="340"/>
      <c r="Q9" s="340"/>
      <c r="R9" s="340"/>
      <c r="S9" s="340"/>
      <c r="T9" s="340"/>
      <c r="V9" s="553"/>
    </row>
    <row r="10" spans="1:22" x14ac:dyDescent="0.2">
      <c r="A10" s="554" t="s">
        <v>169</v>
      </c>
      <c r="B10" s="538"/>
      <c r="D10" s="485"/>
      <c r="E10" s="486"/>
      <c r="F10" s="486"/>
      <c r="G10" s="486"/>
      <c r="H10" s="588"/>
      <c r="J10" s="581"/>
      <c r="K10" s="581"/>
      <c r="L10" s="340" t="s">
        <v>316</v>
      </c>
      <c r="M10" s="340"/>
      <c r="N10" s="340"/>
      <c r="O10" s="340"/>
      <c r="P10" s="340"/>
      <c r="Q10" s="340"/>
      <c r="R10" s="340"/>
      <c r="S10" s="340"/>
      <c r="T10" s="340"/>
      <c r="V10" s="553"/>
    </row>
    <row r="11" spans="1:22" x14ac:dyDescent="0.2">
      <c r="A11" s="554" t="s">
        <v>164</v>
      </c>
      <c r="B11" s="538"/>
      <c r="D11" s="485"/>
      <c r="E11" s="486"/>
      <c r="F11" s="486"/>
      <c r="G11" s="486"/>
      <c r="H11" s="588"/>
      <c r="J11" s="581"/>
      <c r="K11" s="581"/>
      <c r="L11" s="340" t="s">
        <v>300</v>
      </c>
      <c r="M11" s="340"/>
      <c r="N11" s="340"/>
      <c r="O11" s="340"/>
      <c r="P11" s="340"/>
      <c r="Q11" s="340"/>
      <c r="R11" s="340"/>
      <c r="S11" s="340"/>
      <c r="T11" s="340"/>
      <c r="V11" s="553"/>
    </row>
    <row r="12" spans="1:22" x14ac:dyDescent="0.2">
      <c r="A12" s="554" t="s">
        <v>175</v>
      </c>
      <c r="B12" s="202"/>
      <c r="D12" s="485"/>
      <c r="E12" s="486"/>
      <c r="F12" s="486"/>
      <c r="G12" s="486"/>
      <c r="H12" s="588"/>
      <c r="J12" s="581"/>
      <c r="K12" s="581"/>
      <c r="M12" s="340"/>
      <c r="N12" s="340"/>
      <c r="O12" s="340"/>
      <c r="P12" s="340"/>
      <c r="Q12" s="340"/>
      <c r="R12" s="340"/>
      <c r="S12" s="340"/>
      <c r="T12" s="340"/>
      <c r="V12" s="553"/>
    </row>
    <row r="13" spans="1:22" x14ac:dyDescent="0.2">
      <c r="A13" s="554" t="s">
        <v>176</v>
      </c>
      <c r="B13" s="202"/>
      <c r="D13" s="485"/>
      <c r="E13" s="486"/>
      <c r="F13" s="486"/>
      <c r="G13" s="486"/>
      <c r="H13" s="588"/>
      <c r="J13" s="580"/>
      <c r="K13" s="581"/>
      <c r="L13" s="340" t="s">
        <v>301</v>
      </c>
      <c r="M13" s="340"/>
      <c r="N13" s="340"/>
      <c r="O13" s="340"/>
      <c r="P13" s="340"/>
      <c r="Q13" s="340"/>
      <c r="R13" s="340"/>
      <c r="S13" s="340"/>
      <c r="T13" s="340"/>
      <c r="V13" s="553"/>
    </row>
    <row r="14" spans="1:22" x14ac:dyDescent="0.2">
      <c r="A14" s="554" t="s">
        <v>174</v>
      </c>
      <c r="B14" s="203"/>
      <c r="D14" s="485"/>
      <c r="E14" s="486"/>
      <c r="F14" s="486"/>
      <c r="G14" s="486"/>
      <c r="H14" s="588"/>
      <c r="J14" s="580"/>
      <c r="K14" s="580"/>
      <c r="L14" s="340" t="s">
        <v>302</v>
      </c>
      <c r="V14" s="553"/>
    </row>
    <row r="15" spans="1:22" x14ac:dyDescent="0.2">
      <c r="A15" s="554" t="s">
        <v>165</v>
      </c>
      <c r="B15" s="204"/>
      <c r="D15" s="485"/>
      <c r="E15" s="486"/>
      <c r="F15" s="486"/>
      <c r="G15" s="486"/>
      <c r="H15" s="588"/>
      <c r="J15" s="580"/>
      <c r="K15" s="580"/>
      <c r="L15" s="340"/>
      <c r="V15" s="553"/>
    </row>
    <row r="16" spans="1:22" x14ac:dyDescent="0.2">
      <c r="A16" s="554"/>
      <c r="B16" s="204"/>
      <c r="D16" s="485"/>
      <c r="E16" s="486"/>
      <c r="F16" s="486"/>
      <c r="G16" s="486"/>
      <c r="H16" s="588"/>
      <c r="J16" s="580"/>
      <c r="K16" s="580" t="s">
        <v>303</v>
      </c>
      <c r="V16" s="553"/>
    </row>
    <row r="17" spans="1:32" x14ac:dyDescent="0.2">
      <c r="A17" s="562" t="s">
        <v>172</v>
      </c>
      <c r="B17" s="205">
        <v>79451</v>
      </c>
      <c r="D17" s="485"/>
      <c r="E17" s="486"/>
      <c r="F17" s="486"/>
      <c r="G17" s="486"/>
      <c r="H17" s="588"/>
      <c r="J17" s="580"/>
      <c r="K17" s="580"/>
      <c r="L17" s="340" t="s">
        <v>304</v>
      </c>
      <c r="V17" s="553"/>
    </row>
    <row r="18" spans="1:32" x14ac:dyDescent="0.2">
      <c r="A18" s="562" t="s">
        <v>487</v>
      </c>
      <c r="B18" s="319">
        <v>285374</v>
      </c>
      <c r="D18" s="485"/>
      <c r="E18" s="486"/>
      <c r="F18" s="486"/>
      <c r="G18" s="486"/>
      <c r="H18" s="588"/>
      <c r="J18" s="580"/>
      <c r="K18" s="580"/>
      <c r="L18" s="340" t="s">
        <v>305</v>
      </c>
      <c r="V18" s="553"/>
    </row>
    <row r="19" spans="1:32" x14ac:dyDescent="0.2">
      <c r="A19" s="562" t="s">
        <v>166</v>
      </c>
      <c r="B19" s="206">
        <v>45175</v>
      </c>
      <c r="D19" s="485"/>
      <c r="E19" s="486"/>
      <c r="F19" s="486"/>
      <c r="G19" s="486"/>
      <c r="H19" s="588"/>
      <c r="J19" s="580"/>
      <c r="K19" s="580"/>
      <c r="L19" s="340" t="s">
        <v>311</v>
      </c>
      <c r="V19" s="553"/>
    </row>
    <row r="20" spans="1:32" x14ac:dyDescent="0.2">
      <c r="A20" s="562" t="s">
        <v>497</v>
      </c>
      <c r="B20" s="205" t="s">
        <v>495</v>
      </c>
      <c r="D20" s="485"/>
      <c r="E20" s="486"/>
      <c r="F20" s="486"/>
      <c r="G20" s="486"/>
      <c r="H20" s="588"/>
      <c r="J20" s="580"/>
      <c r="K20" s="580"/>
      <c r="L20" s="340" t="s">
        <v>312</v>
      </c>
      <c r="V20" s="553"/>
    </row>
    <row r="21" spans="1:32" ht="13.5" thickBot="1" x14ac:dyDescent="0.25">
      <c r="A21" s="563" t="s">
        <v>166</v>
      </c>
      <c r="B21" s="207">
        <v>45435</v>
      </c>
      <c r="C21" s="559"/>
      <c r="D21" s="589"/>
      <c r="E21" s="590"/>
      <c r="F21" s="590"/>
      <c r="G21" s="590"/>
      <c r="H21" s="591"/>
      <c r="J21" s="580"/>
      <c r="K21" s="580"/>
      <c r="L21" s="340"/>
      <c r="V21" s="553"/>
      <c r="AF21" s="564"/>
    </row>
    <row r="22" spans="1:32" x14ac:dyDescent="0.2">
      <c r="A22" s="565"/>
      <c r="B22" s="566"/>
      <c r="J22" s="580"/>
      <c r="K22" s="580" t="s">
        <v>306</v>
      </c>
      <c r="V22" s="553"/>
    </row>
    <row r="23" spans="1:32" ht="13.5" thickBot="1" x14ac:dyDescent="0.25">
      <c r="B23" s="566"/>
      <c r="J23" s="580"/>
      <c r="K23" s="580"/>
      <c r="L23" s="340" t="s">
        <v>307</v>
      </c>
      <c r="V23" s="553"/>
    </row>
    <row r="24" spans="1:32" ht="18.75" x14ac:dyDescent="0.3">
      <c r="A24" s="592" t="s">
        <v>290</v>
      </c>
      <c r="B24" s="579"/>
      <c r="C24" s="549"/>
      <c r="D24" s="549"/>
      <c r="E24" s="549"/>
      <c r="F24" s="549"/>
      <c r="G24" s="549"/>
      <c r="H24" s="550"/>
      <c r="J24" s="580"/>
      <c r="K24" s="580"/>
      <c r="L24" s="340" t="s">
        <v>308</v>
      </c>
      <c r="V24" s="553"/>
    </row>
    <row r="25" spans="1:32" x14ac:dyDescent="0.2">
      <c r="A25" s="580" t="s">
        <v>291</v>
      </c>
      <c r="B25" s="362"/>
      <c r="H25" s="553"/>
      <c r="J25" s="580"/>
      <c r="K25" s="580"/>
      <c r="L25" s="340" t="s">
        <v>309</v>
      </c>
      <c r="V25" s="553"/>
    </row>
    <row r="26" spans="1:32" ht="15" x14ac:dyDescent="0.25">
      <c r="A26" s="692" t="s">
        <v>424</v>
      </c>
      <c r="B26" s="567"/>
      <c r="H26" s="553"/>
      <c r="J26" s="580"/>
      <c r="K26" s="580"/>
      <c r="L26" s="340" t="s">
        <v>313</v>
      </c>
      <c r="V26" s="553"/>
    </row>
    <row r="27" spans="1:32" ht="15" x14ac:dyDescent="0.25">
      <c r="A27" s="691" t="s">
        <v>292</v>
      </c>
      <c r="B27" s="567"/>
      <c r="H27" s="553"/>
      <c r="J27" s="580"/>
      <c r="K27" s="580"/>
      <c r="L27" s="340"/>
      <c r="V27" s="553"/>
    </row>
    <row r="28" spans="1:32" ht="15" x14ac:dyDescent="0.25">
      <c r="A28" s="692" t="s">
        <v>437</v>
      </c>
      <c r="B28" s="567"/>
      <c r="H28" s="553"/>
      <c r="J28" s="580"/>
      <c r="K28" s="580" t="s">
        <v>263</v>
      </c>
      <c r="L28" s="340"/>
      <c r="V28" s="553"/>
    </row>
    <row r="29" spans="1:32" ht="15" x14ac:dyDescent="0.25">
      <c r="A29" s="583"/>
      <c r="B29" s="567"/>
      <c r="H29" s="553"/>
      <c r="J29" s="580"/>
      <c r="K29" s="580"/>
      <c r="L29" s="340" t="s">
        <v>264</v>
      </c>
      <c r="V29" s="553"/>
    </row>
    <row r="30" spans="1:32" ht="15" x14ac:dyDescent="0.25">
      <c r="A30" s="582"/>
      <c r="B30" s="567"/>
      <c r="H30" s="553"/>
      <c r="J30" s="580"/>
      <c r="K30" s="580"/>
      <c r="L30" s="340" t="s">
        <v>265</v>
      </c>
      <c r="V30" s="553"/>
    </row>
    <row r="31" spans="1:32" ht="15.75" thickBot="1" x14ac:dyDescent="0.3">
      <c r="A31" s="696"/>
      <c r="B31" s="697"/>
      <c r="C31" s="559"/>
      <c r="D31" s="559"/>
      <c r="E31" s="559"/>
      <c r="F31" s="559"/>
      <c r="G31" s="559"/>
      <c r="H31" s="560"/>
      <c r="J31" s="584"/>
      <c r="K31" s="584"/>
      <c r="L31" s="558" t="s">
        <v>310</v>
      </c>
      <c r="M31" s="559"/>
      <c r="N31" s="559"/>
      <c r="O31" s="559"/>
      <c r="P31" s="559"/>
      <c r="Q31" s="559"/>
      <c r="R31" s="559"/>
      <c r="S31" s="559"/>
      <c r="T31" s="559"/>
      <c r="U31" s="559"/>
      <c r="V31" s="560"/>
    </row>
    <row r="32" spans="1:32" ht="15.75" thickBot="1" x14ac:dyDescent="0.3">
      <c r="A32" s="695"/>
      <c r="B32" s="569"/>
      <c r="J32" s="546" t="s">
        <v>315</v>
      </c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50"/>
    </row>
    <row r="33" spans="1:22" ht="13.5" thickBot="1" x14ac:dyDescent="0.25">
      <c r="A33" s="732" t="s">
        <v>512</v>
      </c>
      <c r="B33" s="733" t="s">
        <v>513</v>
      </c>
      <c r="C33" s="733" t="s">
        <v>514</v>
      </c>
      <c r="D33" s="734" t="s">
        <v>515</v>
      </c>
      <c r="J33" s="561"/>
      <c r="K33" s="570" t="s">
        <v>425</v>
      </c>
      <c r="V33" s="553"/>
    </row>
    <row r="34" spans="1:22" x14ac:dyDescent="0.2">
      <c r="A34" s="735" t="s">
        <v>516</v>
      </c>
      <c r="B34" s="736">
        <v>79451</v>
      </c>
      <c r="C34" s="736" t="s">
        <v>517</v>
      </c>
      <c r="D34" s="737">
        <v>45162</v>
      </c>
      <c r="J34" s="561"/>
      <c r="K34" s="571" t="s">
        <v>289</v>
      </c>
      <c r="V34" s="553"/>
    </row>
    <row r="35" spans="1:22" x14ac:dyDescent="0.2">
      <c r="A35" s="735" t="s">
        <v>518</v>
      </c>
      <c r="B35" s="736">
        <v>79451</v>
      </c>
      <c r="C35" s="736">
        <v>275119</v>
      </c>
      <c r="D35" s="738">
        <v>45162</v>
      </c>
      <c r="J35" s="561"/>
      <c r="K35" s="573" t="s">
        <v>426</v>
      </c>
      <c r="V35" s="553"/>
    </row>
    <row r="36" spans="1:22" x14ac:dyDescent="0.2">
      <c r="A36" s="735" t="s">
        <v>519</v>
      </c>
      <c r="B36" s="739">
        <v>79451</v>
      </c>
      <c r="C36" s="740" t="s">
        <v>520</v>
      </c>
      <c r="D36" s="741">
        <v>45162</v>
      </c>
      <c r="J36" s="561"/>
      <c r="K36" s="573" t="s">
        <v>427</v>
      </c>
      <c r="V36" s="553"/>
    </row>
    <row r="37" spans="1:22" x14ac:dyDescent="0.2">
      <c r="A37" s="735"/>
      <c r="B37" s="739"/>
      <c r="C37" s="740"/>
      <c r="D37" s="741"/>
      <c r="J37" s="561"/>
      <c r="K37" s="571" t="s">
        <v>428</v>
      </c>
      <c r="V37" s="553"/>
    </row>
    <row r="38" spans="1:22" x14ac:dyDescent="0.2">
      <c r="A38" s="735"/>
      <c r="B38" s="742"/>
      <c r="C38" s="740" t="s">
        <v>521</v>
      </c>
      <c r="D38" s="738"/>
      <c r="J38" s="561"/>
      <c r="K38" s="574" t="s">
        <v>429</v>
      </c>
      <c r="V38" s="553"/>
    </row>
    <row r="39" spans="1:22" ht="13.5" thickBot="1" x14ac:dyDescent="0.25">
      <c r="A39" s="743" t="s">
        <v>522</v>
      </c>
      <c r="B39" s="744" t="s">
        <v>495</v>
      </c>
      <c r="C39" s="745" t="s">
        <v>521</v>
      </c>
      <c r="D39" s="746">
        <v>45100</v>
      </c>
      <c r="J39" s="561"/>
      <c r="K39" s="573" t="s">
        <v>430</v>
      </c>
      <c r="V39" s="553"/>
    </row>
    <row r="40" spans="1:22" x14ac:dyDescent="0.2">
      <c r="A40" s="340"/>
      <c r="B40" s="362"/>
      <c r="J40" s="561"/>
      <c r="K40" s="573" t="s">
        <v>431</v>
      </c>
      <c r="V40" s="553"/>
    </row>
    <row r="41" spans="1:22" x14ac:dyDescent="0.2">
      <c r="A41" s="340"/>
      <c r="B41" s="362"/>
      <c r="J41" s="561"/>
      <c r="K41" s="573" t="s">
        <v>432</v>
      </c>
      <c r="V41" s="553"/>
    </row>
    <row r="42" spans="1:22" x14ac:dyDescent="0.2">
      <c r="A42" s="340"/>
      <c r="J42" s="561"/>
      <c r="K42" s="573" t="s">
        <v>433</v>
      </c>
      <c r="V42" s="553"/>
    </row>
    <row r="43" spans="1:22" x14ac:dyDescent="0.2">
      <c r="A43" s="340"/>
      <c r="J43" s="561"/>
      <c r="K43" s="570"/>
      <c r="L43" s="693" t="s">
        <v>434</v>
      </c>
      <c r="V43" s="553"/>
    </row>
    <row r="44" spans="1:22" x14ac:dyDescent="0.2">
      <c r="J44" s="561"/>
      <c r="K44" s="571" t="s">
        <v>435</v>
      </c>
      <c r="V44" s="553"/>
    </row>
    <row r="45" spans="1:22" x14ac:dyDescent="0.2">
      <c r="J45" s="561"/>
      <c r="K45" s="694" t="s">
        <v>436</v>
      </c>
      <c r="L45" s="571"/>
      <c r="V45" s="553"/>
    </row>
    <row r="46" spans="1:22" x14ac:dyDescent="0.2">
      <c r="J46" s="561"/>
      <c r="K46" s="573"/>
      <c r="V46" s="553"/>
    </row>
    <row r="47" spans="1:22" ht="13.5" thickBot="1" x14ac:dyDescent="0.25">
      <c r="J47" s="568"/>
      <c r="K47" s="698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60"/>
    </row>
    <row r="48" spans="1:22" x14ac:dyDescent="0.2">
      <c r="K48" s="575"/>
    </row>
    <row r="49" spans="11:11" x14ac:dyDescent="0.2">
      <c r="K49" s="575"/>
    </row>
    <row r="50" spans="11:11" x14ac:dyDescent="0.2">
      <c r="K50" s="575"/>
    </row>
    <row r="51" spans="11:11" x14ac:dyDescent="0.2">
      <c r="K51" s="575"/>
    </row>
    <row r="52" spans="11:11" x14ac:dyDescent="0.2">
      <c r="K52" s="573"/>
    </row>
    <row r="53" spans="11:11" x14ac:dyDescent="0.2">
      <c r="K53" s="573"/>
    </row>
    <row r="54" spans="11:11" x14ac:dyDescent="0.2">
      <c r="K54" s="576"/>
    </row>
    <row r="55" spans="11:11" x14ac:dyDescent="0.2">
      <c r="K55" s="577"/>
    </row>
    <row r="56" spans="11:11" x14ac:dyDescent="0.2">
      <c r="K56" s="571"/>
    </row>
    <row r="57" spans="11:11" x14ac:dyDescent="0.2">
      <c r="K57" s="573"/>
    </row>
    <row r="58" spans="11:11" x14ac:dyDescent="0.2">
      <c r="K58" s="573"/>
    </row>
    <row r="59" spans="11:11" x14ac:dyDescent="0.2">
      <c r="K59" s="573"/>
    </row>
    <row r="60" spans="11:11" x14ac:dyDescent="0.2">
      <c r="K60" s="573"/>
    </row>
    <row r="61" spans="11:11" x14ac:dyDescent="0.2">
      <c r="K61" s="578"/>
    </row>
    <row r="62" spans="11:11" x14ac:dyDescent="0.2">
      <c r="K62" s="575"/>
    </row>
    <row r="63" spans="11:11" x14ac:dyDescent="0.2">
      <c r="K63" s="575"/>
    </row>
    <row r="64" spans="11:11" x14ac:dyDescent="0.2">
      <c r="K64" s="571"/>
    </row>
    <row r="65" spans="11:11" x14ac:dyDescent="0.2">
      <c r="K65" s="570"/>
    </row>
  </sheetData>
  <phoneticPr fontId="0" type="noConversion"/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Hjelpfil!$A$2:$A$6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>
    <tabColor rgb="FF92D050"/>
  </sheetPr>
  <dimension ref="A2:BU220"/>
  <sheetViews>
    <sheetView topLeftCell="AB1" zoomScaleNormal="100" workbookViewId="0">
      <selection activeCell="AN41" sqref="AN41"/>
    </sheetView>
  </sheetViews>
  <sheetFormatPr baseColWidth="10" defaultColWidth="9.140625" defaultRowHeight="11.25" x14ac:dyDescent="0.2"/>
  <cols>
    <col min="1" max="1" width="8.140625" style="61" customWidth="1"/>
    <col min="2" max="2" width="13.42578125" style="61" customWidth="1"/>
    <col min="3" max="3" width="9.7109375" style="61" customWidth="1"/>
    <col min="4" max="4" width="9.28515625" style="61" bestFit="1" customWidth="1"/>
    <col min="5" max="5" width="9.28515625" style="61" customWidth="1"/>
    <col min="6" max="6" width="9.42578125" style="61" customWidth="1"/>
    <col min="7" max="7" width="7.5703125" style="61" customWidth="1"/>
    <col min="8" max="8" width="10.5703125" style="61" customWidth="1"/>
    <col min="9" max="9" width="9.28515625" style="61" bestFit="1" customWidth="1"/>
    <col min="10" max="11" width="12.140625" style="61" customWidth="1"/>
    <col min="12" max="12" width="11.5703125" style="61" customWidth="1"/>
    <col min="13" max="13" width="14.28515625" style="61" customWidth="1"/>
    <col min="14" max="14" width="15.85546875" style="61" customWidth="1"/>
    <col min="15" max="15" width="11.5703125" style="61" customWidth="1"/>
    <col min="16" max="16" width="13.7109375" style="61" customWidth="1"/>
    <col min="17" max="17" width="15.7109375" style="61" customWidth="1"/>
    <col min="18" max="18" width="10.28515625" style="61" customWidth="1"/>
    <col min="19" max="19" width="17.5703125" style="61" customWidth="1"/>
    <col min="20" max="20" width="14.140625" style="61" customWidth="1"/>
    <col min="21" max="21" width="15.85546875" style="61" customWidth="1"/>
    <col min="22" max="22" width="11.7109375" style="61" customWidth="1"/>
    <col min="23" max="23" width="23" style="61" customWidth="1"/>
    <col min="24" max="24" width="10.28515625" style="61" customWidth="1"/>
    <col min="25" max="25" width="11" style="61" customWidth="1"/>
    <col min="26" max="26" width="19" style="61" customWidth="1"/>
    <col min="27" max="27" width="15" style="61" customWidth="1"/>
    <col min="28" max="28" width="21.140625" style="61" customWidth="1"/>
    <col min="29" max="29" width="16.28515625" style="61" customWidth="1"/>
    <col min="30" max="30" width="10.28515625" style="61" customWidth="1"/>
    <col min="31" max="31" width="9.140625" style="61"/>
    <col min="32" max="32" width="6.85546875" style="61" customWidth="1"/>
    <col min="33" max="33" width="13.42578125" style="61" customWidth="1"/>
    <col min="34" max="34" width="16.5703125" style="61" customWidth="1"/>
    <col min="35" max="35" width="14.28515625" style="61" customWidth="1"/>
    <col min="36" max="36" width="10.85546875" style="61" customWidth="1"/>
    <col min="37" max="37" width="8.5703125" style="61" customWidth="1"/>
    <col min="38" max="38" width="6.85546875" style="61" customWidth="1"/>
    <col min="39" max="39" width="10" style="61" customWidth="1"/>
    <col min="40" max="40" width="9.140625" style="61"/>
    <col min="41" max="41" width="18.140625" style="61" customWidth="1"/>
    <col min="42" max="261" width="9.140625" style="61"/>
    <col min="262" max="262" width="8.140625" style="61" customWidth="1"/>
    <col min="263" max="263" width="13.42578125" style="61" customWidth="1"/>
    <col min="264" max="264" width="9.7109375" style="61" customWidth="1"/>
    <col min="265" max="265" width="9.28515625" style="61" bestFit="1" customWidth="1"/>
    <col min="266" max="266" width="7.28515625" style="61" customWidth="1"/>
    <col min="267" max="267" width="9.42578125" style="61" customWidth="1"/>
    <col min="268" max="268" width="7.5703125" style="61" customWidth="1"/>
    <col min="269" max="269" width="10.5703125" style="61" customWidth="1"/>
    <col min="270" max="270" width="9.28515625" style="61" bestFit="1" customWidth="1"/>
    <col min="271" max="271" width="12.140625" style="61" customWidth="1"/>
    <col min="272" max="272" width="2.85546875" style="61" customWidth="1"/>
    <col min="273" max="273" width="10.140625" style="61" customWidth="1"/>
    <col min="274" max="274" width="9.28515625" style="61" bestFit="1" customWidth="1"/>
    <col min="275" max="275" width="9.140625" style="61"/>
    <col min="276" max="276" width="3" style="61" customWidth="1"/>
    <col min="277" max="277" width="9.85546875" style="61" customWidth="1"/>
    <col min="278" max="278" width="9.28515625" style="61" bestFit="1" customWidth="1"/>
    <col min="279" max="279" width="3.85546875" style="61" customWidth="1"/>
    <col min="280" max="280" width="9.85546875" style="61" customWidth="1"/>
    <col min="281" max="281" width="7.28515625" style="61" customWidth="1"/>
    <col min="282" max="282" width="2.7109375" style="61" customWidth="1"/>
    <col min="283" max="283" width="10.28515625" style="61" customWidth="1"/>
    <col min="284" max="284" width="6.7109375" style="61" customWidth="1"/>
    <col min="285" max="517" width="9.140625" style="61"/>
    <col min="518" max="518" width="8.140625" style="61" customWidth="1"/>
    <col min="519" max="519" width="13.42578125" style="61" customWidth="1"/>
    <col min="520" max="520" width="9.7109375" style="61" customWidth="1"/>
    <col min="521" max="521" width="9.28515625" style="61" bestFit="1" customWidth="1"/>
    <col min="522" max="522" width="7.28515625" style="61" customWidth="1"/>
    <col min="523" max="523" width="9.42578125" style="61" customWidth="1"/>
    <col min="524" max="524" width="7.5703125" style="61" customWidth="1"/>
    <col min="525" max="525" width="10.5703125" style="61" customWidth="1"/>
    <col min="526" max="526" width="9.28515625" style="61" bestFit="1" customWidth="1"/>
    <col min="527" max="527" width="12.140625" style="61" customWidth="1"/>
    <col min="528" max="528" width="2.85546875" style="61" customWidth="1"/>
    <col min="529" max="529" width="10.140625" style="61" customWidth="1"/>
    <col min="530" max="530" width="9.28515625" style="61" bestFit="1" customWidth="1"/>
    <col min="531" max="531" width="9.140625" style="61"/>
    <col min="532" max="532" width="3" style="61" customWidth="1"/>
    <col min="533" max="533" width="9.85546875" style="61" customWidth="1"/>
    <col min="534" max="534" width="9.28515625" style="61" bestFit="1" customWidth="1"/>
    <col min="535" max="535" width="3.85546875" style="61" customWidth="1"/>
    <col min="536" max="536" width="9.85546875" style="61" customWidth="1"/>
    <col min="537" max="537" width="7.28515625" style="61" customWidth="1"/>
    <col min="538" max="538" width="2.7109375" style="61" customWidth="1"/>
    <col min="539" max="539" width="10.28515625" style="61" customWidth="1"/>
    <col min="540" max="540" width="6.7109375" style="61" customWidth="1"/>
    <col min="541" max="773" width="9.140625" style="61"/>
    <col min="774" max="774" width="8.140625" style="61" customWidth="1"/>
    <col min="775" max="775" width="13.42578125" style="61" customWidth="1"/>
    <col min="776" max="776" width="9.7109375" style="61" customWidth="1"/>
    <col min="777" max="777" width="9.28515625" style="61" bestFit="1" customWidth="1"/>
    <col min="778" max="778" width="7.28515625" style="61" customWidth="1"/>
    <col min="779" max="779" width="9.42578125" style="61" customWidth="1"/>
    <col min="780" max="780" width="7.5703125" style="61" customWidth="1"/>
    <col min="781" max="781" width="10.5703125" style="61" customWidth="1"/>
    <col min="782" max="782" width="9.28515625" style="61" bestFit="1" customWidth="1"/>
    <col min="783" max="783" width="12.140625" style="61" customWidth="1"/>
    <col min="784" max="784" width="2.85546875" style="61" customWidth="1"/>
    <col min="785" max="785" width="10.140625" style="61" customWidth="1"/>
    <col min="786" max="786" width="9.28515625" style="61" bestFit="1" customWidth="1"/>
    <col min="787" max="787" width="9.140625" style="61"/>
    <col min="788" max="788" width="3" style="61" customWidth="1"/>
    <col min="789" max="789" width="9.85546875" style="61" customWidth="1"/>
    <col min="790" max="790" width="9.28515625" style="61" bestFit="1" customWidth="1"/>
    <col min="791" max="791" width="3.85546875" style="61" customWidth="1"/>
    <col min="792" max="792" width="9.85546875" style="61" customWidth="1"/>
    <col min="793" max="793" width="7.28515625" style="61" customWidth="1"/>
    <col min="794" max="794" width="2.7109375" style="61" customWidth="1"/>
    <col min="795" max="795" width="10.28515625" style="61" customWidth="1"/>
    <col min="796" max="796" width="6.7109375" style="61" customWidth="1"/>
    <col min="797" max="1029" width="9.140625" style="61"/>
    <col min="1030" max="1030" width="8.140625" style="61" customWidth="1"/>
    <col min="1031" max="1031" width="13.42578125" style="61" customWidth="1"/>
    <col min="1032" max="1032" width="9.7109375" style="61" customWidth="1"/>
    <col min="1033" max="1033" width="9.28515625" style="61" bestFit="1" customWidth="1"/>
    <col min="1034" max="1034" width="7.28515625" style="61" customWidth="1"/>
    <col min="1035" max="1035" width="9.42578125" style="61" customWidth="1"/>
    <col min="1036" max="1036" width="7.5703125" style="61" customWidth="1"/>
    <col min="1037" max="1037" width="10.5703125" style="61" customWidth="1"/>
    <col min="1038" max="1038" width="9.28515625" style="61" bestFit="1" customWidth="1"/>
    <col min="1039" max="1039" width="12.140625" style="61" customWidth="1"/>
    <col min="1040" max="1040" width="2.85546875" style="61" customWidth="1"/>
    <col min="1041" max="1041" width="10.140625" style="61" customWidth="1"/>
    <col min="1042" max="1042" width="9.28515625" style="61" bestFit="1" customWidth="1"/>
    <col min="1043" max="1043" width="9.140625" style="61"/>
    <col min="1044" max="1044" width="3" style="61" customWidth="1"/>
    <col min="1045" max="1045" width="9.85546875" style="61" customWidth="1"/>
    <col min="1046" max="1046" width="9.28515625" style="61" bestFit="1" customWidth="1"/>
    <col min="1047" max="1047" width="3.85546875" style="61" customWidth="1"/>
    <col min="1048" max="1048" width="9.85546875" style="61" customWidth="1"/>
    <col min="1049" max="1049" width="7.28515625" style="61" customWidth="1"/>
    <col min="1050" max="1050" width="2.7109375" style="61" customWidth="1"/>
    <col min="1051" max="1051" width="10.28515625" style="61" customWidth="1"/>
    <col min="1052" max="1052" width="6.7109375" style="61" customWidth="1"/>
    <col min="1053" max="1285" width="9.140625" style="61"/>
    <col min="1286" max="1286" width="8.140625" style="61" customWidth="1"/>
    <col min="1287" max="1287" width="13.42578125" style="61" customWidth="1"/>
    <col min="1288" max="1288" width="9.7109375" style="61" customWidth="1"/>
    <col min="1289" max="1289" width="9.28515625" style="61" bestFit="1" customWidth="1"/>
    <col min="1290" max="1290" width="7.28515625" style="61" customWidth="1"/>
    <col min="1291" max="1291" width="9.42578125" style="61" customWidth="1"/>
    <col min="1292" max="1292" width="7.5703125" style="61" customWidth="1"/>
    <col min="1293" max="1293" width="10.5703125" style="61" customWidth="1"/>
    <col min="1294" max="1294" width="9.28515625" style="61" bestFit="1" customWidth="1"/>
    <col min="1295" max="1295" width="12.140625" style="61" customWidth="1"/>
    <col min="1296" max="1296" width="2.85546875" style="61" customWidth="1"/>
    <col min="1297" max="1297" width="10.140625" style="61" customWidth="1"/>
    <col min="1298" max="1298" width="9.28515625" style="61" bestFit="1" customWidth="1"/>
    <col min="1299" max="1299" width="9.140625" style="61"/>
    <col min="1300" max="1300" width="3" style="61" customWidth="1"/>
    <col min="1301" max="1301" width="9.85546875" style="61" customWidth="1"/>
    <col min="1302" max="1302" width="9.28515625" style="61" bestFit="1" customWidth="1"/>
    <col min="1303" max="1303" width="3.85546875" style="61" customWidth="1"/>
    <col min="1304" max="1304" width="9.85546875" style="61" customWidth="1"/>
    <col min="1305" max="1305" width="7.28515625" style="61" customWidth="1"/>
    <col min="1306" max="1306" width="2.7109375" style="61" customWidth="1"/>
    <col min="1307" max="1307" width="10.28515625" style="61" customWidth="1"/>
    <col min="1308" max="1308" width="6.7109375" style="61" customWidth="1"/>
    <col min="1309" max="1541" width="9.140625" style="61"/>
    <col min="1542" max="1542" width="8.140625" style="61" customWidth="1"/>
    <col min="1543" max="1543" width="13.42578125" style="61" customWidth="1"/>
    <col min="1544" max="1544" width="9.7109375" style="61" customWidth="1"/>
    <col min="1545" max="1545" width="9.28515625" style="61" bestFit="1" customWidth="1"/>
    <col min="1546" max="1546" width="7.28515625" style="61" customWidth="1"/>
    <col min="1547" max="1547" width="9.42578125" style="61" customWidth="1"/>
    <col min="1548" max="1548" width="7.5703125" style="61" customWidth="1"/>
    <col min="1549" max="1549" width="10.5703125" style="61" customWidth="1"/>
    <col min="1550" max="1550" width="9.28515625" style="61" bestFit="1" customWidth="1"/>
    <col min="1551" max="1551" width="12.140625" style="61" customWidth="1"/>
    <col min="1552" max="1552" width="2.85546875" style="61" customWidth="1"/>
    <col min="1553" max="1553" width="10.140625" style="61" customWidth="1"/>
    <col min="1554" max="1554" width="9.28515625" style="61" bestFit="1" customWidth="1"/>
    <col min="1555" max="1555" width="9.140625" style="61"/>
    <col min="1556" max="1556" width="3" style="61" customWidth="1"/>
    <col min="1557" max="1557" width="9.85546875" style="61" customWidth="1"/>
    <col min="1558" max="1558" width="9.28515625" style="61" bestFit="1" customWidth="1"/>
    <col min="1559" max="1559" width="3.85546875" style="61" customWidth="1"/>
    <col min="1560" max="1560" width="9.85546875" style="61" customWidth="1"/>
    <col min="1561" max="1561" width="7.28515625" style="61" customWidth="1"/>
    <col min="1562" max="1562" width="2.7109375" style="61" customWidth="1"/>
    <col min="1563" max="1563" width="10.28515625" style="61" customWidth="1"/>
    <col min="1564" max="1564" width="6.7109375" style="61" customWidth="1"/>
    <col min="1565" max="1797" width="9.140625" style="61"/>
    <col min="1798" max="1798" width="8.140625" style="61" customWidth="1"/>
    <col min="1799" max="1799" width="13.42578125" style="61" customWidth="1"/>
    <col min="1800" max="1800" width="9.7109375" style="61" customWidth="1"/>
    <col min="1801" max="1801" width="9.28515625" style="61" bestFit="1" customWidth="1"/>
    <col min="1802" max="1802" width="7.28515625" style="61" customWidth="1"/>
    <col min="1803" max="1803" width="9.42578125" style="61" customWidth="1"/>
    <col min="1804" max="1804" width="7.5703125" style="61" customWidth="1"/>
    <col min="1805" max="1805" width="10.5703125" style="61" customWidth="1"/>
    <col min="1806" max="1806" width="9.28515625" style="61" bestFit="1" customWidth="1"/>
    <col min="1807" max="1807" width="12.140625" style="61" customWidth="1"/>
    <col min="1808" max="1808" width="2.85546875" style="61" customWidth="1"/>
    <col min="1809" max="1809" width="10.140625" style="61" customWidth="1"/>
    <col min="1810" max="1810" width="9.28515625" style="61" bestFit="1" customWidth="1"/>
    <col min="1811" max="1811" width="9.140625" style="61"/>
    <col min="1812" max="1812" width="3" style="61" customWidth="1"/>
    <col min="1813" max="1813" width="9.85546875" style="61" customWidth="1"/>
    <col min="1814" max="1814" width="9.28515625" style="61" bestFit="1" customWidth="1"/>
    <col min="1815" max="1815" width="3.85546875" style="61" customWidth="1"/>
    <col min="1816" max="1816" width="9.85546875" style="61" customWidth="1"/>
    <col min="1817" max="1817" width="7.28515625" style="61" customWidth="1"/>
    <col min="1818" max="1818" width="2.7109375" style="61" customWidth="1"/>
    <col min="1819" max="1819" width="10.28515625" style="61" customWidth="1"/>
    <col min="1820" max="1820" width="6.7109375" style="61" customWidth="1"/>
    <col min="1821" max="2053" width="9.140625" style="61"/>
    <col min="2054" max="2054" width="8.140625" style="61" customWidth="1"/>
    <col min="2055" max="2055" width="13.42578125" style="61" customWidth="1"/>
    <col min="2056" max="2056" width="9.7109375" style="61" customWidth="1"/>
    <col min="2057" max="2057" width="9.28515625" style="61" bestFit="1" customWidth="1"/>
    <col min="2058" max="2058" width="7.28515625" style="61" customWidth="1"/>
    <col min="2059" max="2059" width="9.42578125" style="61" customWidth="1"/>
    <col min="2060" max="2060" width="7.5703125" style="61" customWidth="1"/>
    <col min="2061" max="2061" width="10.5703125" style="61" customWidth="1"/>
    <col min="2062" max="2062" width="9.28515625" style="61" bestFit="1" customWidth="1"/>
    <col min="2063" max="2063" width="12.140625" style="61" customWidth="1"/>
    <col min="2064" max="2064" width="2.85546875" style="61" customWidth="1"/>
    <col min="2065" max="2065" width="10.140625" style="61" customWidth="1"/>
    <col min="2066" max="2066" width="9.28515625" style="61" bestFit="1" customWidth="1"/>
    <col min="2067" max="2067" width="9.140625" style="61"/>
    <col min="2068" max="2068" width="3" style="61" customWidth="1"/>
    <col min="2069" max="2069" width="9.85546875" style="61" customWidth="1"/>
    <col min="2070" max="2070" width="9.28515625" style="61" bestFit="1" customWidth="1"/>
    <col min="2071" max="2071" width="3.85546875" style="61" customWidth="1"/>
    <col min="2072" max="2072" width="9.85546875" style="61" customWidth="1"/>
    <col min="2073" max="2073" width="7.28515625" style="61" customWidth="1"/>
    <col min="2074" max="2074" width="2.7109375" style="61" customWidth="1"/>
    <col min="2075" max="2075" width="10.28515625" style="61" customWidth="1"/>
    <col min="2076" max="2076" width="6.7109375" style="61" customWidth="1"/>
    <col min="2077" max="2309" width="9.140625" style="61"/>
    <col min="2310" max="2310" width="8.140625" style="61" customWidth="1"/>
    <col min="2311" max="2311" width="13.42578125" style="61" customWidth="1"/>
    <col min="2312" max="2312" width="9.7109375" style="61" customWidth="1"/>
    <col min="2313" max="2313" width="9.28515625" style="61" bestFit="1" customWidth="1"/>
    <col min="2314" max="2314" width="7.28515625" style="61" customWidth="1"/>
    <col min="2315" max="2315" width="9.42578125" style="61" customWidth="1"/>
    <col min="2316" max="2316" width="7.5703125" style="61" customWidth="1"/>
    <col min="2317" max="2317" width="10.5703125" style="61" customWidth="1"/>
    <col min="2318" max="2318" width="9.28515625" style="61" bestFit="1" customWidth="1"/>
    <col min="2319" max="2319" width="12.140625" style="61" customWidth="1"/>
    <col min="2320" max="2320" width="2.85546875" style="61" customWidth="1"/>
    <col min="2321" max="2321" width="10.140625" style="61" customWidth="1"/>
    <col min="2322" max="2322" width="9.28515625" style="61" bestFit="1" customWidth="1"/>
    <col min="2323" max="2323" width="9.140625" style="61"/>
    <col min="2324" max="2324" width="3" style="61" customWidth="1"/>
    <col min="2325" max="2325" width="9.85546875" style="61" customWidth="1"/>
    <col min="2326" max="2326" width="9.28515625" style="61" bestFit="1" customWidth="1"/>
    <col min="2327" max="2327" width="3.85546875" style="61" customWidth="1"/>
    <col min="2328" max="2328" width="9.85546875" style="61" customWidth="1"/>
    <col min="2329" max="2329" width="7.28515625" style="61" customWidth="1"/>
    <col min="2330" max="2330" width="2.7109375" style="61" customWidth="1"/>
    <col min="2331" max="2331" width="10.28515625" style="61" customWidth="1"/>
    <col min="2332" max="2332" width="6.7109375" style="61" customWidth="1"/>
    <col min="2333" max="2565" width="9.140625" style="61"/>
    <col min="2566" max="2566" width="8.140625" style="61" customWidth="1"/>
    <col min="2567" max="2567" width="13.42578125" style="61" customWidth="1"/>
    <col min="2568" max="2568" width="9.7109375" style="61" customWidth="1"/>
    <col min="2569" max="2569" width="9.28515625" style="61" bestFit="1" customWidth="1"/>
    <col min="2570" max="2570" width="7.28515625" style="61" customWidth="1"/>
    <col min="2571" max="2571" width="9.42578125" style="61" customWidth="1"/>
    <col min="2572" max="2572" width="7.5703125" style="61" customWidth="1"/>
    <col min="2573" max="2573" width="10.5703125" style="61" customWidth="1"/>
    <col min="2574" max="2574" width="9.28515625" style="61" bestFit="1" customWidth="1"/>
    <col min="2575" max="2575" width="12.140625" style="61" customWidth="1"/>
    <col min="2576" max="2576" width="2.85546875" style="61" customWidth="1"/>
    <col min="2577" max="2577" width="10.140625" style="61" customWidth="1"/>
    <col min="2578" max="2578" width="9.28515625" style="61" bestFit="1" customWidth="1"/>
    <col min="2579" max="2579" width="9.140625" style="61"/>
    <col min="2580" max="2580" width="3" style="61" customWidth="1"/>
    <col min="2581" max="2581" width="9.85546875" style="61" customWidth="1"/>
    <col min="2582" max="2582" width="9.28515625" style="61" bestFit="1" customWidth="1"/>
    <col min="2583" max="2583" width="3.85546875" style="61" customWidth="1"/>
    <col min="2584" max="2584" width="9.85546875" style="61" customWidth="1"/>
    <col min="2585" max="2585" width="7.28515625" style="61" customWidth="1"/>
    <col min="2586" max="2586" width="2.7109375" style="61" customWidth="1"/>
    <col min="2587" max="2587" width="10.28515625" style="61" customWidth="1"/>
    <col min="2588" max="2588" width="6.7109375" style="61" customWidth="1"/>
    <col min="2589" max="2821" width="9.140625" style="61"/>
    <col min="2822" max="2822" width="8.140625" style="61" customWidth="1"/>
    <col min="2823" max="2823" width="13.42578125" style="61" customWidth="1"/>
    <col min="2824" max="2824" width="9.7109375" style="61" customWidth="1"/>
    <col min="2825" max="2825" width="9.28515625" style="61" bestFit="1" customWidth="1"/>
    <col min="2826" max="2826" width="7.28515625" style="61" customWidth="1"/>
    <col min="2827" max="2827" width="9.42578125" style="61" customWidth="1"/>
    <col min="2828" max="2828" width="7.5703125" style="61" customWidth="1"/>
    <col min="2829" max="2829" width="10.5703125" style="61" customWidth="1"/>
    <col min="2830" max="2830" width="9.28515625" style="61" bestFit="1" customWidth="1"/>
    <col min="2831" max="2831" width="12.140625" style="61" customWidth="1"/>
    <col min="2832" max="2832" width="2.85546875" style="61" customWidth="1"/>
    <col min="2833" max="2833" width="10.140625" style="61" customWidth="1"/>
    <col min="2834" max="2834" width="9.28515625" style="61" bestFit="1" customWidth="1"/>
    <col min="2835" max="2835" width="9.140625" style="61"/>
    <col min="2836" max="2836" width="3" style="61" customWidth="1"/>
    <col min="2837" max="2837" width="9.85546875" style="61" customWidth="1"/>
    <col min="2838" max="2838" width="9.28515625" style="61" bestFit="1" customWidth="1"/>
    <col min="2839" max="2839" width="3.85546875" style="61" customWidth="1"/>
    <col min="2840" max="2840" width="9.85546875" style="61" customWidth="1"/>
    <col min="2841" max="2841" width="7.28515625" style="61" customWidth="1"/>
    <col min="2842" max="2842" width="2.7109375" style="61" customWidth="1"/>
    <col min="2843" max="2843" width="10.28515625" style="61" customWidth="1"/>
    <col min="2844" max="2844" width="6.7109375" style="61" customWidth="1"/>
    <col min="2845" max="3077" width="9.140625" style="61"/>
    <col min="3078" max="3078" width="8.140625" style="61" customWidth="1"/>
    <col min="3079" max="3079" width="13.42578125" style="61" customWidth="1"/>
    <col min="3080" max="3080" width="9.7109375" style="61" customWidth="1"/>
    <col min="3081" max="3081" width="9.28515625" style="61" bestFit="1" customWidth="1"/>
    <col min="3082" max="3082" width="7.28515625" style="61" customWidth="1"/>
    <col min="3083" max="3083" width="9.42578125" style="61" customWidth="1"/>
    <col min="3084" max="3084" width="7.5703125" style="61" customWidth="1"/>
    <col min="3085" max="3085" width="10.5703125" style="61" customWidth="1"/>
    <col min="3086" max="3086" width="9.28515625" style="61" bestFit="1" customWidth="1"/>
    <col min="3087" max="3087" width="12.140625" style="61" customWidth="1"/>
    <col min="3088" max="3088" width="2.85546875" style="61" customWidth="1"/>
    <col min="3089" max="3089" width="10.140625" style="61" customWidth="1"/>
    <col min="3090" max="3090" width="9.28515625" style="61" bestFit="1" customWidth="1"/>
    <col min="3091" max="3091" width="9.140625" style="61"/>
    <col min="3092" max="3092" width="3" style="61" customWidth="1"/>
    <col min="3093" max="3093" width="9.85546875" style="61" customWidth="1"/>
    <col min="3094" max="3094" width="9.28515625" style="61" bestFit="1" customWidth="1"/>
    <col min="3095" max="3095" width="3.85546875" style="61" customWidth="1"/>
    <col min="3096" max="3096" width="9.85546875" style="61" customWidth="1"/>
    <col min="3097" max="3097" width="7.28515625" style="61" customWidth="1"/>
    <col min="3098" max="3098" width="2.7109375" style="61" customWidth="1"/>
    <col min="3099" max="3099" width="10.28515625" style="61" customWidth="1"/>
    <col min="3100" max="3100" width="6.7109375" style="61" customWidth="1"/>
    <col min="3101" max="3333" width="9.140625" style="61"/>
    <col min="3334" max="3334" width="8.140625" style="61" customWidth="1"/>
    <col min="3335" max="3335" width="13.42578125" style="61" customWidth="1"/>
    <col min="3336" max="3336" width="9.7109375" style="61" customWidth="1"/>
    <col min="3337" max="3337" width="9.28515625" style="61" bestFit="1" customWidth="1"/>
    <col min="3338" max="3338" width="7.28515625" style="61" customWidth="1"/>
    <col min="3339" max="3339" width="9.42578125" style="61" customWidth="1"/>
    <col min="3340" max="3340" width="7.5703125" style="61" customWidth="1"/>
    <col min="3341" max="3341" width="10.5703125" style="61" customWidth="1"/>
    <col min="3342" max="3342" width="9.28515625" style="61" bestFit="1" customWidth="1"/>
    <col min="3343" max="3343" width="12.140625" style="61" customWidth="1"/>
    <col min="3344" max="3344" width="2.85546875" style="61" customWidth="1"/>
    <col min="3345" max="3345" width="10.140625" style="61" customWidth="1"/>
    <col min="3346" max="3346" width="9.28515625" style="61" bestFit="1" customWidth="1"/>
    <col min="3347" max="3347" width="9.140625" style="61"/>
    <col min="3348" max="3348" width="3" style="61" customWidth="1"/>
    <col min="3349" max="3349" width="9.85546875" style="61" customWidth="1"/>
    <col min="3350" max="3350" width="9.28515625" style="61" bestFit="1" customWidth="1"/>
    <col min="3351" max="3351" width="3.85546875" style="61" customWidth="1"/>
    <col min="3352" max="3352" width="9.85546875" style="61" customWidth="1"/>
    <col min="3353" max="3353" width="7.28515625" style="61" customWidth="1"/>
    <col min="3354" max="3354" width="2.7109375" style="61" customWidth="1"/>
    <col min="3355" max="3355" width="10.28515625" style="61" customWidth="1"/>
    <col min="3356" max="3356" width="6.7109375" style="61" customWidth="1"/>
    <col min="3357" max="3589" width="9.140625" style="61"/>
    <col min="3590" max="3590" width="8.140625" style="61" customWidth="1"/>
    <col min="3591" max="3591" width="13.42578125" style="61" customWidth="1"/>
    <col min="3592" max="3592" width="9.7109375" style="61" customWidth="1"/>
    <col min="3593" max="3593" width="9.28515625" style="61" bestFit="1" customWidth="1"/>
    <col min="3594" max="3594" width="7.28515625" style="61" customWidth="1"/>
    <col min="3595" max="3595" width="9.42578125" style="61" customWidth="1"/>
    <col min="3596" max="3596" width="7.5703125" style="61" customWidth="1"/>
    <col min="3597" max="3597" width="10.5703125" style="61" customWidth="1"/>
    <col min="3598" max="3598" width="9.28515625" style="61" bestFit="1" customWidth="1"/>
    <col min="3599" max="3599" width="12.140625" style="61" customWidth="1"/>
    <col min="3600" max="3600" width="2.85546875" style="61" customWidth="1"/>
    <col min="3601" max="3601" width="10.140625" style="61" customWidth="1"/>
    <col min="3602" max="3602" width="9.28515625" style="61" bestFit="1" customWidth="1"/>
    <col min="3603" max="3603" width="9.140625" style="61"/>
    <col min="3604" max="3604" width="3" style="61" customWidth="1"/>
    <col min="3605" max="3605" width="9.85546875" style="61" customWidth="1"/>
    <col min="3606" max="3606" width="9.28515625" style="61" bestFit="1" customWidth="1"/>
    <col min="3607" max="3607" width="3.85546875" style="61" customWidth="1"/>
    <col min="3608" max="3608" width="9.85546875" style="61" customWidth="1"/>
    <col min="3609" max="3609" width="7.28515625" style="61" customWidth="1"/>
    <col min="3610" max="3610" width="2.7109375" style="61" customWidth="1"/>
    <col min="3611" max="3611" width="10.28515625" style="61" customWidth="1"/>
    <col min="3612" max="3612" width="6.7109375" style="61" customWidth="1"/>
    <col min="3613" max="3845" width="9.140625" style="61"/>
    <col min="3846" max="3846" width="8.140625" style="61" customWidth="1"/>
    <col min="3847" max="3847" width="13.42578125" style="61" customWidth="1"/>
    <col min="3848" max="3848" width="9.7109375" style="61" customWidth="1"/>
    <col min="3849" max="3849" width="9.28515625" style="61" bestFit="1" customWidth="1"/>
    <col min="3850" max="3850" width="7.28515625" style="61" customWidth="1"/>
    <col min="3851" max="3851" width="9.42578125" style="61" customWidth="1"/>
    <col min="3852" max="3852" width="7.5703125" style="61" customWidth="1"/>
    <col min="3853" max="3853" width="10.5703125" style="61" customWidth="1"/>
    <col min="3854" max="3854" width="9.28515625" style="61" bestFit="1" customWidth="1"/>
    <col min="3855" max="3855" width="12.140625" style="61" customWidth="1"/>
    <col min="3856" max="3856" width="2.85546875" style="61" customWidth="1"/>
    <col min="3857" max="3857" width="10.140625" style="61" customWidth="1"/>
    <col min="3858" max="3858" width="9.28515625" style="61" bestFit="1" customWidth="1"/>
    <col min="3859" max="3859" width="9.140625" style="61"/>
    <col min="3860" max="3860" width="3" style="61" customWidth="1"/>
    <col min="3861" max="3861" width="9.85546875" style="61" customWidth="1"/>
    <col min="3862" max="3862" width="9.28515625" style="61" bestFit="1" customWidth="1"/>
    <col min="3863" max="3863" width="3.85546875" style="61" customWidth="1"/>
    <col min="3864" max="3864" width="9.85546875" style="61" customWidth="1"/>
    <col min="3865" max="3865" width="7.28515625" style="61" customWidth="1"/>
    <col min="3866" max="3866" width="2.7109375" style="61" customWidth="1"/>
    <col min="3867" max="3867" width="10.28515625" style="61" customWidth="1"/>
    <col min="3868" max="3868" width="6.7109375" style="61" customWidth="1"/>
    <col min="3869" max="4101" width="9.140625" style="61"/>
    <col min="4102" max="4102" width="8.140625" style="61" customWidth="1"/>
    <col min="4103" max="4103" width="13.42578125" style="61" customWidth="1"/>
    <col min="4104" max="4104" width="9.7109375" style="61" customWidth="1"/>
    <col min="4105" max="4105" width="9.28515625" style="61" bestFit="1" customWidth="1"/>
    <col min="4106" max="4106" width="7.28515625" style="61" customWidth="1"/>
    <col min="4107" max="4107" width="9.42578125" style="61" customWidth="1"/>
    <col min="4108" max="4108" width="7.5703125" style="61" customWidth="1"/>
    <col min="4109" max="4109" width="10.5703125" style="61" customWidth="1"/>
    <col min="4110" max="4110" width="9.28515625" style="61" bestFit="1" customWidth="1"/>
    <col min="4111" max="4111" width="12.140625" style="61" customWidth="1"/>
    <col min="4112" max="4112" width="2.85546875" style="61" customWidth="1"/>
    <col min="4113" max="4113" width="10.140625" style="61" customWidth="1"/>
    <col min="4114" max="4114" width="9.28515625" style="61" bestFit="1" customWidth="1"/>
    <col min="4115" max="4115" width="9.140625" style="61"/>
    <col min="4116" max="4116" width="3" style="61" customWidth="1"/>
    <col min="4117" max="4117" width="9.85546875" style="61" customWidth="1"/>
    <col min="4118" max="4118" width="9.28515625" style="61" bestFit="1" customWidth="1"/>
    <col min="4119" max="4119" width="3.85546875" style="61" customWidth="1"/>
    <col min="4120" max="4120" width="9.85546875" style="61" customWidth="1"/>
    <col min="4121" max="4121" width="7.28515625" style="61" customWidth="1"/>
    <col min="4122" max="4122" width="2.7109375" style="61" customWidth="1"/>
    <col min="4123" max="4123" width="10.28515625" style="61" customWidth="1"/>
    <col min="4124" max="4124" width="6.7109375" style="61" customWidth="1"/>
    <col min="4125" max="4357" width="9.140625" style="61"/>
    <col min="4358" max="4358" width="8.140625" style="61" customWidth="1"/>
    <col min="4359" max="4359" width="13.42578125" style="61" customWidth="1"/>
    <col min="4360" max="4360" width="9.7109375" style="61" customWidth="1"/>
    <col min="4361" max="4361" width="9.28515625" style="61" bestFit="1" customWidth="1"/>
    <col min="4362" max="4362" width="7.28515625" style="61" customWidth="1"/>
    <col min="4363" max="4363" width="9.42578125" style="61" customWidth="1"/>
    <col min="4364" max="4364" width="7.5703125" style="61" customWidth="1"/>
    <col min="4365" max="4365" width="10.5703125" style="61" customWidth="1"/>
    <col min="4366" max="4366" width="9.28515625" style="61" bestFit="1" customWidth="1"/>
    <col min="4367" max="4367" width="12.140625" style="61" customWidth="1"/>
    <col min="4368" max="4368" width="2.85546875" style="61" customWidth="1"/>
    <col min="4369" max="4369" width="10.140625" style="61" customWidth="1"/>
    <col min="4370" max="4370" width="9.28515625" style="61" bestFit="1" customWidth="1"/>
    <col min="4371" max="4371" width="9.140625" style="61"/>
    <col min="4372" max="4372" width="3" style="61" customWidth="1"/>
    <col min="4373" max="4373" width="9.85546875" style="61" customWidth="1"/>
    <col min="4374" max="4374" width="9.28515625" style="61" bestFit="1" customWidth="1"/>
    <col min="4375" max="4375" width="3.85546875" style="61" customWidth="1"/>
    <col min="4376" max="4376" width="9.85546875" style="61" customWidth="1"/>
    <col min="4377" max="4377" width="7.28515625" style="61" customWidth="1"/>
    <col min="4378" max="4378" width="2.7109375" style="61" customWidth="1"/>
    <col min="4379" max="4379" width="10.28515625" style="61" customWidth="1"/>
    <col min="4380" max="4380" width="6.7109375" style="61" customWidth="1"/>
    <col min="4381" max="4613" width="9.140625" style="61"/>
    <col min="4614" max="4614" width="8.140625" style="61" customWidth="1"/>
    <col min="4615" max="4615" width="13.42578125" style="61" customWidth="1"/>
    <col min="4616" max="4616" width="9.7109375" style="61" customWidth="1"/>
    <col min="4617" max="4617" width="9.28515625" style="61" bestFit="1" customWidth="1"/>
    <col min="4618" max="4618" width="7.28515625" style="61" customWidth="1"/>
    <col min="4619" max="4619" width="9.42578125" style="61" customWidth="1"/>
    <col min="4620" max="4620" width="7.5703125" style="61" customWidth="1"/>
    <col min="4621" max="4621" width="10.5703125" style="61" customWidth="1"/>
    <col min="4622" max="4622" width="9.28515625" style="61" bestFit="1" customWidth="1"/>
    <col min="4623" max="4623" width="12.140625" style="61" customWidth="1"/>
    <col min="4624" max="4624" width="2.85546875" style="61" customWidth="1"/>
    <col min="4625" max="4625" width="10.140625" style="61" customWidth="1"/>
    <col min="4626" max="4626" width="9.28515625" style="61" bestFit="1" customWidth="1"/>
    <col min="4627" max="4627" width="9.140625" style="61"/>
    <col min="4628" max="4628" width="3" style="61" customWidth="1"/>
    <col min="4629" max="4629" width="9.85546875" style="61" customWidth="1"/>
    <col min="4630" max="4630" width="9.28515625" style="61" bestFit="1" customWidth="1"/>
    <col min="4631" max="4631" width="3.85546875" style="61" customWidth="1"/>
    <col min="4632" max="4632" width="9.85546875" style="61" customWidth="1"/>
    <col min="4633" max="4633" width="7.28515625" style="61" customWidth="1"/>
    <col min="4634" max="4634" width="2.7109375" style="61" customWidth="1"/>
    <col min="4635" max="4635" width="10.28515625" style="61" customWidth="1"/>
    <col min="4636" max="4636" width="6.7109375" style="61" customWidth="1"/>
    <col min="4637" max="4869" width="9.140625" style="61"/>
    <col min="4870" max="4870" width="8.140625" style="61" customWidth="1"/>
    <col min="4871" max="4871" width="13.42578125" style="61" customWidth="1"/>
    <col min="4872" max="4872" width="9.7109375" style="61" customWidth="1"/>
    <col min="4873" max="4873" width="9.28515625" style="61" bestFit="1" customWidth="1"/>
    <col min="4874" max="4874" width="7.28515625" style="61" customWidth="1"/>
    <col min="4875" max="4875" width="9.42578125" style="61" customWidth="1"/>
    <col min="4876" max="4876" width="7.5703125" style="61" customWidth="1"/>
    <col min="4877" max="4877" width="10.5703125" style="61" customWidth="1"/>
    <col min="4878" max="4878" width="9.28515625" style="61" bestFit="1" customWidth="1"/>
    <col min="4879" max="4879" width="12.140625" style="61" customWidth="1"/>
    <col min="4880" max="4880" width="2.85546875" style="61" customWidth="1"/>
    <col min="4881" max="4881" width="10.140625" style="61" customWidth="1"/>
    <col min="4882" max="4882" width="9.28515625" style="61" bestFit="1" customWidth="1"/>
    <col min="4883" max="4883" width="9.140625" style="61"/>
    <col min="4884" max="4884" width="3" style="61" customWidth="1"/>
    <col min="4885" max="4885" width="9.85546875" style="61" customWidth="1"/>
    <col min="4886" max="4886" width="9.28515625" style="61" bestFit="1" customWidth="1"/>
    <col min="4887" max="4887" width="3.85546875" style="61" customWidth="1"/>
    <col min="4888" max="4888" width="9.85546875" style="61" customWidth="1"/>
    <col min="4889" max="4889" width="7.28515625" style="61" customWidth="1"/>
    <col min="4890" max="4890" width="2.7109375" style="61" customWidth="1"/>
    <col min="4891" max="4891" width="10.28515625" style="61" customWidth="1"/>
    <col min="4892" max="4892" width="6.7109375" style="61" customWidth="1"/>
    <col min="4893" max="5125" width="9.140625" style="61"/>
    <col min="5126" max="5126" width="8.140625" style="61" customWidth="1"/>
    <col min="5127" max="5127" width="13.42578125" style="61" customWidth="1"/>
    <col min="5128" max="5128" width="9.7109375" style="61" customWidth="1"/>
    <col min="5129" max="5129" width="9.28515625" style="61" bestFit="1" customWidth="1"/>
    <col min="5130" max="5130" width="7.28515625" style="61" customWidth="1"/>
    <col min="5131" max="5131" width="9.42578125" style="61" customWidth="1"/>
    <col min="5132" max="5132" width="7.5703125" style="61" customWidth="1"/>
    <col min="5133" max="5133" width="10.5703125" style="61" customWidth="1"/>
    <col min="5134" max="5134" width="9.28515625" style="61" bestFit="1" customWidth="1"/>
    <col min="5135" max="5135" width="12.140625" style="61" customWidth="1"/>
    <col min="5136" max="5136" width="2.85546875" style="61" customWidth="1"/>
    <col min="5137" max="5137" width="10.140625" style="61" customWidth="1"/>
    <col min="5138" max="5138" width="9.28515625" style="61" bestFit="1" customWidth="1"/>
    <col min="5139" max="5139" width="9.140625" style="61"/>
    <col min="5140" max="5140" width="3" style="61" customWidth="1"/>
    <col min="5141" max="5141" width="9.85546875" style="61" customWidth="1"/>
    <col min="5142" max="5142" width="9.28515625" style="61" bestFit="1" customWidth="1"/>
    <col min="5143" max="5143" width="3.85546875" style="61" customWidth="1"/>
    <col min="5144" max="5144" width="9.85546875" style="61" customWidth="1"/>
    <col min="5145" max="5145" width="7.28515625" style="61" customWidth="1"/>
    <col min="5146" max="5146" width="2.7109375" style="61" customWidth="1"/>
    <col min="5147" max="5147" width="10.28515625" style="61" customWidth="1"/>
    <col min="5148" max="5148" width="6.7109375" style="61" customWidth="1"/>
    <col min="5149" max="5381" width="9.140625" style="61"/>
    <col min="5382" max="5382" width="8.140625" style="61" customWidth="1"/>
    <col min="5383" max="5383" width="13.42578125" style="61" customWidth="1"/>
    <col min="5384" max="5384" width="9.7109375" style="61" customWidth="1"/>
    <col min="5385" max="5385" width="9.28515625" style="61" bestFit="1" customWidth="1"/>
    <col min="5386" max="5386" width="7.28515625" style="61" customWidth="1"/>
    <col min="5387" max="5387" width="9.42578125" style="61" customWidth="1"/>
    <col min="5388" max="5388" width="7.5703125" style="61" customWidth="1"/>
    <col min="5389" max="5389" width="10.5703125" style="61" customWidth="1"/>
    <col min="5390" max="5390" width="9.28515625" style="61" bestFit="1" customWidth="1"/>
    <col min="5391" max="5391" width="12.140625" style="61" customWidth="1"/>
    <col min="5392" max="5392" width="2.85546875" style="61" customWidth="1"/>
    <col min="5393" max="5393" width="10.140625" style="61" customWidth="1"/>
    <col min="5394" max="5394" width="9.28515625" style="61" bestFit="1" customWidth="1"/>
    <col min="5395" max="5395" width="9.140625" style="61"/>
    <col min="5396" max="5396" width="3" style="61" customWidth="1"/>
    <col min="5397" max="5397" width="9.85546875" style="61" customWidth="1"/>
    <col min="5398" max="5398" width="9.28515625" style="61" bestFit="1" customWidth="1"/>
    <col min="5399" max="5399" width="3.85546875" style="61" customWidth="1"/>
    <col min="5400" max="5400" width="9.85546875" style="61" customWidth="1"/>
    <col min="5401" max="5401" width="7.28515625" style="61" customWidth="1"/>
    <col min="5402" max="5402" width="2.7109375" style="61" customWidth="1"/>
    <col min="5403" max="5403" width="10.28515625" style="61" customWidth="1"/>
    <col min="5404" max="5404" width="6.7109375" style="61" customWidth="1"/>
    <col min="5405" max="5637" width="9.140625" style="61"/>
    <col min="5638" max="5638" width="8.140625" style="61" customWidth="1"/>
    <col min="5639" max="5639" width="13.42578125" style="61" customWidth="1"/>
    <col min="5640" max="5640" width="9.7109375" style="61" customWidth="1"/>
    <col min="5641" max="5641" width="9.28515625" style="61" bestFit="1" customWidth="1"/>
    <col min="5642" max="5642" width="7.28515625" style="61" customWidth="1"/>
    <col min="5643" max="5643" width="9.42578125" style="61" customWidth="1"/>
    <col min="5644" max="5644" width="7.5703125" style="61" customWidth="1"/>
    <col min="5645" max="5645" width="10.5703125" style="61" customWidth="1"/>
    <col min="5646" max="5646" width="9.28515625" style="61" bestFit="1" customWidth="1"/>
    <col min="5647" max="5647" width="12.140625" style="61" customWidth="1"/>
    <col min="5648" max="5648" width="2.85546875" style="61" customWidth="1"/>
    <col min="5649" max="5649" width="10.140625" style="61" customWidth="1"/>
    <col min="5650" max="5650" width="9.28515625" style="61" bestFit="1" customWidth="1"/>
    <col min="5651" max="5651" width="9.140625" style="61"/>
    <col min="5652" max="5652" width="3" style="61" customWidth="1"/>
    <col min="5653" max="5653" width="9.85546875" style="61" customWidth="1"/>
    <col min="5654" max="5654" width="9.28515625" style="61" bestFit="1" customWidth="1"/>
    <col min="5655" max="5655" width="3.85546875" style="61" customWidth="1"/>
    <col min="5656" max="5656" width="9.85546875" style="61" customWidth="1"/>
    <col min="5657" max="5657" width="7.28515625" style="61" customWidth="1"/>
    <col min="5658" max="5658" width="2.7109375" style="61" customWidth="1"/>
    <col min="5659" max="5659" width="10.28515625" style="61" customWidth="1"/>
    <col min="5660" max="5660" width="6.7109375" style="61" customWidth="1"/>
    <col min="5661" max="5893" width="9.140625" style="61"/>
    <col min="5894" max="5894" width="8.140625" style="61" customWidth="1"/>
    <col min="5895" max="5895" width="13.42578125" style="61" customWidth="1"/>
    <col min="5896" max="5896" width="9.7109375" style="61" customWidth="1"/>
    <col min="5897" max="5897" width="9.28515625" style="61" bestFit="1" customWidth="1"/>
    <col min="5898" max="5898" width="7.28515625" style="61" customWidth="1"/>
    <col min="5899" max="5899" width="9.42578125" style="61" customWidth="1"/>
    <col min="5900" max="5900" width="7.5703125" style="61" customWidth="1"/>
    <col min="5901" max="5901" width="10.5703125" style="61" customWidth="1"/>
    <col min="5902" max="5902" width="9.28515625" style="61" bestFit="1" customWidth="1"/>
    <col min="5903" max="5903" width="12.140625" style="61" customWidth="1"/>
    <col min="5904" max="5904" width="2.85546875" style="61" customWidth="1"/>
    <col min="5905" max="5905" width="10.140625" style="61" customWidth="1"/>
    <col min="5906" max="5906" width="9.28515625" style="61" bestFit="1" customWidth="1"/>
    <col min="5907" max="5907" width="9.140625" style="61"/>
    <col min="5908" max="5908" width="3" style="61" customWidth="1"/>
    <col min="5909" max="5909" width="9.85546875" style="61" customWidth="1"/>
    <col min="5910" max="5910" width="9.28515625" style="61" bestFit="1" customWidth="1"/>
    <col min="5911" max="5911" width="3.85546875" style="61" customWidth="1"/>
    <col min="5912" max="5912" width="9.85546875" style="61" customWidth="1"/>
    <col min="5913" max="5913" width="7.28515625" style="61" customWidth="1"/>
    <col min="5914" max="5914" width="2.7109375" style="61" customWidth="1"/>
    <col min="5915" max="5915" width="10.28515625" style="61" customWidth="1"/>
    <col min="5916" max="5916" width="6.7109375" style="61" customWidth="1"/>
    <col min="5917" max="6149" width="9.140625" style="61"/>
    <col min="6150" max="6150" width="8.140625" style="61" customWidth="1"/>
    <col min="6151" max="6151" width="13.42578125" style="61" customWidth="1"/>
    <col min="6152" max="6152" width="9.7109375" style="61" customWidth="1"/>
    <col min="6153" max="6153" width="9.28515625" style="61" bestFit="1" customWidth="1"/>
    <col min="6154" max="6154" width="7.28515625" style="61" customWidth="1"/>
    <col min="6155" max="6155" width="9.42578125" style="61" customWidth="1"/>
    <col min="6156" max="6156" width="7.5703125" style="61" customWidth="1"/>
    <col min="6157" max="6157" width="10.5703125" style="61" customWidth="1"/>
    <col min="6158" max="6158" width="9.28515625" style="61" bestFit="1" customWidth="1"/>
    <col min="6159" max="6159" width="12.140625" style="61" customWidth="1"/>
    <col min="6160" max="6160" width="2.85546875" style="61" customWidth="1"/>
    <col min="6161" max="6161" width="10.140625" style="61" customWidth="1"/>
    <col min="6162" max="6162" width="9.28515625" style="61" bestFit="1" customWidth="1"/>
    <col min="6163" max="6163" width="9.140625" style="61"/>
    <col min="6164" max="6164" width="3" style="61" customWidth="1"/>
    <col min="6165" max="6165" width="9.85546875" style="61" customWidth="1"/>
    <col min="6166" max="6166" width="9.28515625" style="61" bestFit="1" customWidth="1"/>
    <col min="6167" max="6167" width="3.85546875" style="61" customWidth="1"/>
    <col min="6168" max="6168" width="9.85546875" style="61" customWidth="1"/>
    <col min="6169" max="6169" width="7.28515625" style="61" customWidth="1"/>
    <col min="6170" max="6170" width="2.7109375" style="61" customWidth="1"/>
    <col min="6171" max="6171" width="10.28515625" style="61" customWidth="1"/>
    <col min="6172" max="6172" width="6.7109375" style="61" customWidth="1"/>
    <col min="6173" max="6405" width="9.140625" style="61"/>
    <col min="6406" max="6406" width="8.140625" style="61" customWidth="1"/>
    <col min="6407" max="6407" width="13.42578125" style="61" customWidth="1"/>
    <col min="6408" max="6408" width="9.7109375" style="61" customWidth="1"/>
    <col min="6409" max="6409" width="9.28515625" style="61" bestFit="1" customWidth="1"/>
    <col min="6410" max="6410" width="7.28515625" style="61" customWidth="1"/>
    <col min="6411" max="6411" width="9.42578125" style="61" customWidth="1"/>
    <col min="6412" max="6412" width="7.5703125" style="61" customWidth="1"/>
    <col min="6413" max="6413" width="10.5703125" style="61" customWidth="1"/>
    <col min="6414" max="6414" width="9.28515625" style="61" bestFit="1" customWidth="1"/>
    <col min="6415" max="6415" width="12.140625" style="61" customWidth="1"/>
    <col min="6416" max="6416" width="2.85546875" style="61" customWidth="1"/>
    <col min="6417" max="6417" width="10.140625" style="61" customWidth="1"/>
    <col min="6418" max="6418" width="9.28515625" style="61" bestFit="1" customWidth="1"/>
    <col min="6419" max="6419" width="9.140625" style="61"/>
    <col min="6420" max="6420" width="3" style="61" customWidth="1"/>
    <col min="6421" max="6421" width="9.85546875" style="61" customWidth="1"/>
    <col min="6422" max="6422" width="9.28515625" style="61" bestFit="1" customWidth="1"/>
    <col min="6423" max="6423" width="3.85546875" style="61" customWidth="1"/>
    <col min="6424" max="6424" width="9.85546875" style="61" customWidth="1"/>
    <col min="6425" max="6425" width="7.28515625" style="61" customWidth="1"/>
    <col min="6426" max="6426" width="2.7109375" style="61" customWidth="1"/>
    <col min="6427" max="6427" width="10.28515625" style="61" customWidth="1"/>
    <col min="6428" max="6428" width="6.7109375" style="61" customWidth="1"/>
    <col min="6429" max="6661" width="9.140625" style="61"/>
    <col min="6662" max="6662" width="8.140625" style="61" customWidth="1"/>
    <col min="6663" max="6663" width="13.42578125" style="61" customWidth="1"/>
    <col min="6664" max="6664" width="9.7109375" style="61" customWidth="1"/>
    <col min="6665" max="6665" width="9.28515625" style="61" bestFit="1" customWidth="1"/>
    <col min="6666" max="6666" width="7.28515625" style="61" customWidth="1"/>
    <col min="6667" max="6667" width="9.42578125" style="61" customWidth="1"/>
    <col min="6668" max="6668" width="7.5703125" style="61" customWidth="1"/>
    <col min="6669" max="6669" width="10.5703125" style="61" customWidth="1"/>
    <col min="6670" max="6670" width="9.28515625" style="61" bestFit="1" customWidth="1"/>
    <col min="6671" max="6671" width="12.140625" style="61" customWidth="1"/>
    <col min="6672" max="6672" width="2.85546875" style="61" customWidth="1"/>
    <col min="6673" max="6673" width="10.140625" style="61" customWidth="1"/>
    <col min="6674" max="6674" width="9.28515625" style="61" bestFit="1" customWidth="1"/>
    <col min="6675" max="6675" width="9.140625" style="61"/>
    <col min="6676" max="6676" width="3" style="61" customWidth="1"/>
    <col min="6677" max="6677" width="9.85546875" style="61" customWidth="1"/>
    <col min="6678" max="6678" width="9.28515625" style="61" bestFit="1" customWidth="1"/>
    <col min="6679" max="6679" width="3.85546875" style="61" customWidth="1"/>
    <col min="6680" max="6680" width="9.85546875" style="61" customWidth="1"/>
    <col min="6681" max="6681" width="7.28515625" style="61" customWidth="1"/>
    <col min="6682" max="6682" width="2.7109375" style="61" customWidth="1"/>
    <col min="6683" max="6683" width="10.28515625" style="61" customWidth="1"/>
    <col min="6684" max="6684" width="6.7109375" style="61" customWidth="1"/>
    <col min="6685" max="6917" width="9.140625" style="61"/>
    <col min="6918" max="6918" width="8.140625" style="61" customWidth="1"/>
    <col min="6919" max="6919" width="13.42578125" style="61" customWidth="1"/>
    <col min="6920" max="6920" width="9.7109375" style="61" customWidth="1"/>
    <col min="6921" max="6921" width="9.28515625" style="61" bestFit="1" customWidth="1"/>
    <col min="6922" max="6922" width="7.28515625" style="61" customWidth="1"/>
    <col min="6923" max="6923" width="9.42578125" style="61" customWidth="1"/>
    <col min="6924" max="6924" width="7.5703125" style="61" customWidth="1"/>
    <col min="6925" max="6925" width="10.5703125" style="61" customWidth="1"/>
    <col min="6926" max="6926" width="9.28515625" style="61" bestFit="1" customWidth="1"/>
    <col min="6927" max="6927" width="12.140625" style="61" customWidth="1"/>
    <col min="6928" max="6928" width="2.85546875" style="61" customWidth="1"/>
    <col min="6929" max="6929" width="10.140625" style="61" customWidth="1"/>
    <col min="6930" max="6930" width="9.28515625" style="61" bestFit="1" customWidth="1"/>
    <col min="6931" max="6931" width="9.140625" style="61"/>
    <col min="6932" max="6932" width="3" style="61" customWidth="1"/>
    <col min="6933" max="6933" width="9.85546875" style="61" customWidth="1"/>
    <col min="6934" max="6934" width="9.28515625" style="61" bestFit="1" customWidth="1"/>
    <col min="6935" max="6935" width="3.85546875" style="61" customWidth="1"/>
    <col min="6936" max="6936" width="9.85546875" style="61" customWidth="1"/>
    <col min="6937" max="6937" width="7.28515625" style="61" customWidth="1"/>
    <col min="6938" max="6938" width="2.7109375" style="61" customWidth="1"/>
    <col min="6939" max="6939" width="10.28515625" style="61" customWidth="1"/>
    <col min="6940" max="6940" width="6.7109375" style="61" customWidth="1"/>
    <col min="6941" max="7173" width="9.140625" style="61"/>
    <col min="7174" max="7174" width="8.140625" style="61" customWidth="1"/>
    <col min="7175" max="7175" width="13.42578125" style="61" customWidth="1"/>
    <col min="7176" max="7176" width="9.7109375" style="61" customWidth="1"/>
    <col min="7177" max="7177" width="9.28515625" style="61" bestFit="1" customWidth="1"/>
    <col min="7178" max="7178" width="7.28515625" style="61" customWidth="1"/>
    <col min="7179" max="7179" width="9.42578125" style="61" customWidth="1"/>
    <col min="7180" max="7180" width="7.5703125" style="61" customWidth="1"/>
    <col min="7181" max="7181" width="10.5703125" style="61" customWidth="1"/>
    <col min="7182" max="7182" width="9.28515625" style="61" bestFit="1" customWidth="1"/>
    <col min="7183" max="7183" width="12.140625" style="61" customWidth="1"/>
    <col min="7184" max="7184" width="2.85546875" style="61" customWidth="1"/>
    <col min="7185" max="7185" width="10.140625" style="61" customWidth="1"/>
    <col min="7186" max="7186" width="9.28515625" style="61" bestFit="1" customWidth="1"/>
    <col min="7187" max="7187" width="9.140625" style="61"/>
    <col min="7188" max="7188" width="3" style="61" customWidth="1"/>
    <col min="7189" max="7189" width="9.85546875" style="61" customWidth="1"/>
    <col min="7190" max="7190" width="9.28515625" style="61" bestFit="1" customWidth="1"/>
    <col min="7191" max="7191" width="3.85546875" style="61" customWidth="1"/>
    <col min="7192" max="7192" width="9.85546875" style="61" customWidth="1"/>
    <col min="7193" max="7193" width="7.28515625" style="61" customWidth="1"/>
    <col min="7194" max="7194" width="2.7109375" style="61" customWidth="1"/>
    <col min="7195" max="7195" width="10.28515625" style="61" customWidth="1"/>
    <col min="7196" max="7196" width="6.7109375" style="61" customWidth="1"/>
    <col min="7197" max="7429" width="9.140625" style="61"/>
    <col min="7430" max="7430" width="8.140625" style="61" customWidth="1"/>
    <col min="7431" max="7431" width="13.42578125" style="61" customWidth="1"/>
    <col min="7432" max="7432" width="9.7109375" style="61" customWidth="1"/>
    <col min="7433" max="7433" width="9.28515625" style="61" bestFit="1" customWidth="1"/>
    <col min="7434" max="7434" width="7.28515625" style="61" customWidth="1"/>
    <col min="7435" max="7435" width="9.42578125" style="61" customWidth="1"/>
    <col min="7436" max="7436" width="7.5703125" style="61" customWidth="1"/>
    <col min="7437" max="7437" width="10.5703125" style="61" customWidth="1"/>
    <col min="7438" max="7438" width="9.28515625" style="61" bestFit="1" customWidth="1"/>
    <col min="7439" max="7439" width="12.140625" style="61" customWidth="1"/>
    <col min="7440" max="7440" width="2.85546875" style="61" customWidth="1"/>
    <col min="7441" max="7441" width="10.140625" style="61" customWidth="1"/>
    <col min="7442" max="7442" width="9.28515625" style="61" bestFit="1" customWidth="1"/>
    <col min="7443" max="7443" width="9.140625" style="61"/>
    <col min="7444" max="7444" width="3" style="61" customWidth="1"/>
    <col min="7445" max="7445" width="9.85546875" style="61" customWidth="1"/>
    <col min="7446" max="7446" width="9.28515625" style="61" bestFit="1" customWidth="1"/>
    <col min="7447" max="7447" width="3.85546875" style="61" customWidth="1"/>
    <col min="7448" max="7448" width="9.85546875" style="61" customWidth="1"/>
    <col min="7449" max="7449" width="7.28515625" style="61" customWidth="1"/>
    <col min="7450" max="7450" width="2.7109375" style="61" customWidth="1"/>
    <col min="7451" max="7451" width="10.28515625" style="61" customWidth="1"/>
    <col min="7452" max="7452" width="6.7109375" style="61" customWidth="1"/>
    <col min="7453" max="7685" width="9.140625" style="61"/>
    <col min="7686" max="7686" width="8.140625" style="61" customWidth="1"/>
    <col min="7687" max="7687" width="13.42578125" style="61" customWidth="1"/>
    <col min="7688" max="7688" width="9.7109375" style="61" customWidth="1"/>
    <col min="7689" max="7689" width="9.28515625" style="61" bestFit="1" customWidth="1"/>
    <col min="7690" max="7690" width="7.28515625" style="61" customWidth="1"/>
    <col min="7691" max="7691" width="9.42578125" style="61" customWidth="1"/>
    <col min="7692" max="7692" width="7.5703125" style="61" customWidth="1"/>
    <col min="7693" max="7693" width="10.5703125" style="61" customWidth="1"/>
    <col min="7694" max="7694" width="9.28515625" style="61" bestFit="1" customWidth="1"/>
    <col min="7695" max="7695" width="12.140625" style="61" customWidth="1"/>
    <col min="7696" max="7696" width="2.85546875" style="61" customWidth="1"/>
    <col min="7697" max="7697" width="10.140625" style="61" customWidth="1"/>
    <col min="7698" max="7698" width="9.28515625" style="61" bestFit="1" customWidth="1"/>
    <col min="7699" max="7699" width="9.140625" style="61"/>
    <col min="7700" max="7700" width="3" style="61" customWidth="1"/>
    <col min="7701" max="7701" width="9.85546875" style="61" customWidth="1"/>
    <col min="7702" max="7702" width="9.28515625" style="61" bestFit="1" customWidth="1"/>
    <col min="7703" max="7703" width="3.85546875" style="61" customWidth="1"/>
    <col min="7704" max="7704" width="9.85546875" style="61" customWidth="1"/>
    <col min="7705" max="7705" width="7.28515625" style="61" customWidth="1"/>
    <col min="7706" max="7706" width="2.7109375" style="61" customWidth="1"/>
    <col min="7707" max="7707" width="10.28515625" style="61" customWidth="1"/>
    <col min="7708" max="7708" width="6.7109375" style="61" customWidth="1"/>
    <col min="7709" max="7941" width="9.140625" style="61"/>
    <col min="7942" max="7942" width="8.140625" style="61" customWidth="1"/>
    <col min="7943" max="7943" width="13.42578125" style="61" customWidth="1"/>
    <col min="7944" max="7944" width="9.7109375" style="61" customWidth="1"/>
    <col min="7945" max="7945" width="9.28515625" style="61" bestFit="1" customWidth="1"/>
    <col min="7946" max="7946" width="7.28515625" style="61" customWidth="1"/>
    <col min="7947" max="7947" width="9.42578125" style="61" customWidth="1"/>
    <col min="7948" max="7948" width="7.5703125" style="61" customWidth="1"/>
    <col min="7949" max="7949" width="10.5703125" style="61" customWidth="1"/>
    <col min="7950" max="7950" width="9.28515625" style="61" bestFit="1" customWidth="1"/>
    <col min="7951" max="7951" width="12.140625" style="61" customWidth="1"/>
    <col min="7952" max="7952" width="2.85546875" style="61" customWidth="1"/>
    <col min="7953" max="7953" width="10.140625" style="61" customWidth="1"/>
    <col min="7954" max="7954" width="9.28515625" style="61" bestFit="1" customWidth="1"/>
    <col min="7955" max="7955" width="9.140625" style="61"/>
    <col min="7956" max="7956" width="3" style="61" customWidth="1"/>
    <col min="7957" max="7957" width="9.85546875" style="61" customWidth="1"/>
    <col min="7958" max="7958" width="9.28515625" style="61" bestFit="1" customWidth="1"/>
    <col min="7959" max="7959" width="3.85546875" style="61" customWidth="1"/>
    <col min="7960" max="7960" width="9.85546875" style="61" customWidth="1"/>
    <col min="7961" max="7961" width="7.28515625" style="61" customWidth="1"/>
    <col min="7962" max="7962" width="2.7109375" style="61" customWidth="1"/>
    <col min="7963" max="7963" width="10.28515625" style="61" customWidth="1"/>
    <col min="7964" max="7964" width="6.7109375" style="61" customWidth="1"/>
    <col min="7965" max="8197" width="9.140625" style="61"/>
    <col min="8198" max="8198" width="8.140625" style="61" customWidth="1"/>
    <col min="8199" max="8199" width="13.42578125" style="61" customWidth="1"/>
    <col min="8200" max="8200" width="9.7109375" style="61" customWidth="1"/>
    <col min="8201" max="8201" width="9.28515625" style="61" bestFit="1" customWidth="1"/>
    <col min="8202" max="8202" width="7.28515625" style="61" customWidth="1"/>
    <col min="8203" max="8203" width="9.42578125" style="61" customWidth="1"/>
    <col min="8204" max="8204" width="7.5703125" style="61" customWidth="1"/>
    <col min="8205" max="8205" width="10.5703125" style="61" customWidth="1"/>
    <col min="8206" max="8206" width="9.28515625" style="61" bestFit="1" customWidth="1"/>
    <col min="8207" max="8207" width="12.140625" style="61" customWidth="1"/>
    <col min="8208" max="8208" width="2.85546875" style="61" customWidth="1"/>
    <col min="8209" max="8209" width="10.140625" style="61" customWidth="1"/>
    <col min="8210" max="8210" width="9.28515625" style="61" bestFit="1" customWidth="1"/>
    <col min="8211" max="8211" width="9.140625" style="61"/>
    <col min="8212" max="8212" width="3" style="61" customWidth="1"/>
    <col min="8213" max="8213" width="9.85546875" style="61" customWidth="1"/>
    <col min="8214" max="8214" width="9.28515625" style="61" bestFit="1" customWidth="1"/>
    <col min="8215" max="8215" width="3.85546875" style="61" customWidth="1"/>
    <col min="8216" max="8216" width="9.85546875" style="61" customWidth="1"/>
    <col min="8217" max="8217" width="7.28515625" style="61" customWidth="1"/>
    <col min="8218" max="8218" width="2.7109375" style="61" customWidth="1"/>
    <col min="8219" max="8219" width="10.28515625" style="61" customWidth="1"/>
    <col min="8220" max="8220" width="6.7109375" style="61" customWidth="1"/>
    <col min="8221" max="8453" width="9.140625" style="61"/>
    <col min="8454" max="8454" width="8.140625" style="61" customWidth="1"/>
    <col min="8455" max="8455" width="13.42578125" style="61" customWidth="1"/>
    <col min="8456" max="8456" width="9.7109375" style="61" customWidth="1"/>
    <col min="8457" max="8457" width="9.28515625" style="61" bestFit="1" customWidth="1"/>
    <col min="8458" max="8458" width="7.28515625" style="61" customWidth="1"/>
    <col min="8459" max="8459" width="9.42578125" style="61" customWidth="1"/>
    <col min="8460" max="8460" width="7.5703125" style="61" customWidth="1"/>
    <col min="8461" max="8461" width="10.5703125" style="61" customWidth="1"/>
    <col min="8462" max="8462" width="9.28515625" style="61" bestFit="1" customWidth="1"/>
    <col min="8463" max="8463" width="12.140625" style="61" customWidth="1"/>
    <col min="8464" max="8464" width="2.85546875" style="61" customWidth="1"/>
    <col min="8465" max="8465" width="10.140625" style="61" customWidth="1"/>
    <col min="8466" max="8466" width="9.28515625" style="61" bestFit="1" customWidth="1"/>
    <col min="8467" max="8467" width="9.140625" style="61"/>
    <col min="8468" max="8468" width="3" style="61" customWidth="1"/>
    <col min="8469" max="8469" width="9.85546875" style="61" customWidth="1"/>
    <col min="8470" max="8470" width="9.28515625" style="61" bestFit="1" customWidth="1"/>
    <col min="8471" max="8471" width="3.85546875" style="61" customWidth="1"/>
    <col min="8472" max="8472" width="9.85546875" style="61" customWidth="1"/>
    <col min="8473" max="8473" width="7.28515625" style="61" customWidth="1"/>
    <col min="8474" max="8474" width="2.7109375" style="61" customWidth="1"/>
    <col min="8475" max="8475" width="10.28515625" style="61" customWidth="1"/>
    <col min="8476" max="8476" width="6.7109375" style="61" customWidth="1"/>
    <col min="8477" max="8709" width="9.140625" style="61"/>
    <col min="8710" max="8710" width="8.140625" style="61" customWidth="1"/>
    <col min="8711" max="8711" width="13.42578125" style="61" customWidth="1"/>
    <col min="8712" max="8712" width="9.7109375" style="61" customWidth="1"/>
    <col min="8713" max="8713" width="9.28515625" style="61" bestFit="1" customWidth="1"/>
    <col min="8714" max="8714" width="7.28515625" style="61" customWidth="1"/>
    <col min="8715" max="8715" width="9.42578125" style="61" customWidth="1"/>
    <col min="8716" max="8716" width="7.5703125" style="61" customWidth="1"/>
    <col min="8717" max="8717" width="10.5703125" style="61" customWidth="1"/>
    <col min="8718" max="8718" width="9.28515625" style="61" bestFit="1" customWidth="1"/>
    <col min="8719" max="8719" width="12.140625" style="61" customWidth="1"/>
    <col min="8720" max="8720" width="2.85546875" style="61" customWidth="1"/>
    <col min="8721" max="8721" width="10.140625" style="61" customWidth="1"/>
    <col min="8722" max="8722" width="9.28515625" style="61" bestFit="1" customWidth="1"/>
    <col min="8723" max="8723" width="9.140625" style="61"/>
    <col min="8724" max="8724" width="3" style="61" customWidth="1"/>
    <col min="8725" max="8725" width="9.85546875" style="61" customWidth="1"/>
    <col min="8726" max="8726" width="9.28515625" style="61" bestFit="1" customWidth="1"/>
    <col min="8727" max="8727" width="3.85546875" style="61" customWidth="1"/>
    <col min="8728" max="8728" width="9.85546875" style="61" customWidth="1"/>
    <col min="8729" max="8729" width="7.28515625" style="61" customWidth="1"/>
    <col min="8730" max="8730" width="2.7109375" style="61" customWidth="1"/>
    <col min="8731" max="8731" width="10.28515625" style="61" customWidth="1"/>
    <col min="8732" max="8732" width="6.7109375" style="61" customWidth="1"/>
    <col min="8733" max="8965" width="9.140625" style="61"/>
    <col min="8966" max="8966" width="8.140625" style="61" customWidth="1"/>
    <col min="8967" max="8967" width="13.42578125" style="61" customWidth="1"/>
    <col min="8968" max="8968" width="9.7109375" style="61" customWidth="1"/>
    <col min="8969" max="8969" width="9.28515625" style="61" bestFit="1" customWidth="1"/>
    <col min="8970" max="8970" width="7.28515625" style="61" customWidth="1"/>
    <col min="8971" max="8971" width="9.42578125" style="61" customWidth="1"/>
    <col min="8972" max="8972" width="7.5703125" style="61" customWidth="1"/>
    <col min="8973" max="8973" width="10.5703125" style="61" customWidth="1"/>
    <col min="8974" max="8974" width="9.28515625" style="61" bestFit="1" customWidth="1"/>
    <col min="8975" max="8975" width="12.140625" style="61" customWidth="1"/>
    <col min="8976" max="8976" width="2.85546875" style="61" customWidth="1"/>
    <col min="8977" max="8977" width="10.140625" style="61" customWidth="1"/>
    <col min="8978" max="8978" width="9.28515625" style="61" bestFit="1" customWidth="1"/>
    <col min="8979" max="8979" width="9.140625" style="61"/>
    <col min="8980" max="8980" width="3" style="61" customWidth="1"/>
    <col min="8981" max="8981" width="9.85546875" style="61" customWidth="1"/>
    <col min="8982" max="8982" width="9.28515625" style="61" bestFit="1" customWidth="1"/>
    <col min="8983" max="8983" width="3.85546875" style="61" customWidth="1"/>
    <col min="8984" max="8984" width="9.85546875" style="61" customWidth="1"/>
    <col min="8985" max="8985" width="7.28515625" style="61" customWidth="1"/>
    <col min="8986" max="8986" width="2.7109375" style="61" customWidth="1"/>
    <col min="8987" max="8987" width="10.28515625" style="61" customWidth="1"/>
    <col min="8988" max="8988" width="6.7109375" style="61" customWidth="1"/>
    <col min="8989" max="9221" width="9.140625" style="61"/>
    <col min="9222" max="9222" width="8.140625" style="61" customWidth="1"/>
    <col min="9223" max="9223" width="13.42578125" style="61" customWidth="1"/>
    <col min="9224" max="9224" width="9.7109375" style="61" customWidth="1"/>
    <col min="9225" max="9225" width="9.28515625" style="61" bestFit="1" customWidth="1"/>
    <col min="9226" max="9226" width="7.28515625" style="61" customWidth="1"/>
    <col min="9227" max="9227" width="9.42578125" style="61" customWidth="1"/>
    <col min="9228" max="9228" width="7.5703125" style="61" customWidth="1"/>
    <col min="9229" max="9229" width="10.5703125" style="61" customWidth="1"/>
    <col min="9230" max="9230" width="9.28515625" style="61" bestFit="1" customWidth="1"/>
    <col min="9231" max="9231" width="12.140625" style="61" customWidth="1"/>
    <col min="9232" max="9232" width="2.85546875" style="61" customWidth="1"/>
    <col min="9233" max="9233" width="10.140625" style="61" customWidth="1"/>
    <col min="9234" max="9234" width="9.28515625" style="61" bestFit="1" customWidth="1"/>
    <col min="9235" max="9235" width="9.140625" style="61"/>
    <col min="9236" max="9236" width="3" style="61" customWidth="1"/>
    <col min="9237" max="9237" width="9.85546875" style="61" customWidth="1"/>
    <col min="9238" max="9238" width="9.28515625" style="61" bestFit="1" customWidth="1"/>
    <col min="9239" max="9239" width="3.85546875" style="61" customWidth="1"/>
    <col min="9240" max="9240" width="9.85546875" style="61" customWidth="1"/>
    <col min="9241" max="9241" width="7.28515625" style="61" customWidth="1"/>
    <col min="9242" max="9242" width="2.7109375" style="61" customWidth="1"/>
    <col min="9243" max="9243" width="10.28515625" style="61" customWidth="1"/>
    <col min="9244" max="9244" width="6.7109375" style="61" customWidth="1"/>
    <col min="9245" max="9477" width="9.140625" style="61"/>
    <col min="9478" max="9478" width="8.140625" style="61" customWidth="1"/>
    <col min="9479" max="9479" width="13.42578125" style="61" customWidth="1"/>
    <col min="9480" max="9480" width="9.7109375" style="61" customWidth="1"/>
    <col min="9481" max="9481" width="9.28515625" style="61" bestFit="1" customWidth="1"/>
    <col min="9482" max="9482" width="7.28515625" style="61" customWidth="1"/>
    <col min="9483" max="9483" width="9.42578125" style="61" customWidth="1"/>
    <col min="9484" max="9484" width="7.5703125" style="61" customWidth="1"/>
    <col min="9485" max="9485" width="10.5703125" style="61" customWidth="1"/>
    <col min="9486" max="9486" width="9.28515625" style="61" bestFit="1" customWidth="1"/>
    <col min="9487" max="9487" width="12.140625" style="61" customWidth="1"/>
    <col min="9488" max="9488" width="2.85546875" style="61" customWidth="1"/>
    <col min="9489" max="9489" width="10.140625" style="61" customWidth="1"/>
    <col min="9490" max="9490" width="9.28515625" style="61" bestFit="1" customWidth="1"/>
    <col min="9491" max="9491" width="9.140625" style="61"/>
    <col min="9492" max="9492" width="3" style="61" customWidth="1"/>
    <col min="9493" max="9493" width="9.85546875" style="61" customWidth="1"/>
    <col min="9494" max="9494" width="9.28515625" style="61" bestFit="1" customWidth="1"/>
    <col min="9495" max="9495" width="3.85546875" style="61" customWidth="1"/>
    <col min="9496" max="9496" width="9.85546875" style="61" customWidth="1"/>
    <col min="9497" max="9497" width="7.28515625" style="61" customWidth="1"/>
    <col min="9498" max="9498" width="2.7109375" style="61" customWidth="1"/>
    <col min="9499" max="9499" width="10.28515625" style="61" customWidth="1"/>
    <col min="9500" max="9500" width="6.7109375" style="61" customWidth="1"/>
    <col min="9501" max="9733" width="9.140625" style="61"/>
    <col min="9734" max="9734" width="8.140625" style="61" customWidth="1"/>
    <col min="9735" max="9735" width="13.42578125" style="61" customWidth="1"/>
    <col min="9736" max="9736" width="9.7109375" style="61" customWidth="1"/>
    <col min="9737" max="9737" width="9.28515625" style="61" bestFit="1" customWidth="1"/>
    <col min="9738" max="9738" width="7.28515625" style="61" customWidth="1"/>
    <col min="9739" max="9739" width="9.42578125" style="61" customWidth="1"/>
    <col min="9740" max="9740" width="7.5703125" style="61" customWidth="1"/>
    <col min="9741" max="9741" width="10.5703125" style="61" customWidth="1"/>
    <col min="9742" max="9742" width="9.28515625" style="61" bestFit="1" customWidth="1"/>
    <col min="9743" max="9743" width="12.140625" style="61" customWidth="1"/>
    <col min="9744" max="9744" width="2.85546875" style="61" customWidth="1"/>
    <col min="9745" max="9745" width="10.140625" style="61" customWidth="1"/>
    <col min="9746" max="9746" width="9.28515625" style="61" bestFit="1" customWidth="1"/>
    <col min="9747" max="9747" width="9.140625" style="61"/>
    <col min="9748" max="9748" width="3" style="61" customWidth="1"/>
    <col min="9749" max="9749" width="9.85546875" style="61" customWidth="1"/>
    <col min="9750" max="9750" width="9.28515625" style="61" bestFit="1" customWidth="1"/>
    <col min="9751" max="9751" width="3.85546875" style="61" customWidth="1"/>
    <col min="9752" max="9752" width="9.85546875" style="61" customWidth="1"/>
    <col min="9753" max="9753" width="7.28515625" style="61" customWidth="1"/>
    <col min="9754" max="9754" width="2.7109375" style="61" customWidth="1"/>
    <col min="9755" max="9755" width="10.28515625" style="61" customWidth="1"/>
    <col min="9756" max="9756" width="6.7109375" style="61" customWidth="1"/>
    <col min="9757" max="9989" width="9.140625" style="61"/>
    <col min="9990" max="9990" width="8.140625" style="61" customWidth="1"/>
    <col min="9991" max="9991" width="13.42578125" style="61" customWidth="1"/>
    <col min="9992" max="9992" width="9.7109375" style="61" customWidth="1"/>
    <col min="9993" max="9993" width="9.28515625" style="61" bestFit="1" customWidth="1"/>
    <col min="9994" max="9994" width="7.28515625" style="61" customWidth="1"/>
    <col min="9995" max="9995" width="9.42578125" style="61" customWidth="1"/>
    <col min="9996" max="9996" width="7.5703125" style="61" customWidth="1"/>
    <col min="9997" max="9997" width="10.5703125" style="61" customWidth="1"/>
    <col min="9998" max="9998" width="9.28515625" style="61" bestFit="1" customWidth="1"/>
    <col min="9999" max="9999" width="12.140625" style="61" customWidth="1"/>
    <col min="10000" max="10000" width="2.85546875" style="61" customWidth="1"/>
    <col min="10001" max="10001" width="10.140625" style="61" customWidth="1"/>
    <col min="10002" max="10002" width="9.28515625" style="61" bestFit="1" customWidth="1"/>
    <col min="10003" max="10003" width="9.140625" style="61"/>
    <col min="10004" max="10004" width="3" style="61" customWidth="1"/>
    <col min="10005" max="10005" width="9.85546875" style="61" customWidth="1"/>
    <col min="10006" max="10006" width="9.28515625" style="61" bestFit="1" customWidth="1"/>
    <col min="10007" max="10007" width="3.85546875" style="61" customWidth="1"/>
    <col min="10008" max="10008" width="9.85546875" style="61" customWidth="1"/>
    <col min="10009" max="10009" width="7.28515625" style="61" customWidth="1"/>
    <col min="10010" max="10010" width="2.7109375" style="61" customWidth="1"/>
    <col min="10011" max="10011" width="10.28515625" style="61" customWidth="1"/>
    <col min="10012" max="10012" width="6.7109375" style="61" customWidth="1"/>
    <col min="10013" max="10245" width="9.140625" style="61"/>
    <col min="10246" max="10246" width="8.140625" style="61" customWidth="1"/>
    <col min="10247" max="10247" width="13.42578125" style="61" customWidth="1"/>
    <col min="10248" max="10248" width="9.7109375" style="61" customWidth="1"/>
    <col min="10249" max="10249" width="9.28515625" style="61" bestFit="1" customWidth="1"/>
    <col min="10250" max="10250" width="7.28515625" style="61" customWidth="1"/>
    <col min="10251" max="10251" width="9.42578125" style="61" customWidth="1"/>
    <col min="10252" max="10252" width="7.5703125" style="61" customWidth="1"/>
    <col min="10253" max="10253" width="10.5703125" style="61" customWidth="1"/>
    <col min="10254" max="10254" width="9.28515625" style="61" bestFit="1" customWidth="1"/>
    <col min="10255" max="10255" width="12.140625" style="61" customWidth="1"/>
    <col min="10256" max="10256" width="2.85546875" style="61" customWidth="1"/>
    <col min="10257" max="10257" width="10.140625" style="61" customWidth="1"/>
    <col min="10258" max="10258" width="9.28515625" style="61" bestFit="1" customWidth="1"/>
    <col min="10259" max="10259" width="9.140625" style="61"/>
    <col min="10260" max="10260" width="3" style="61" customWidth="1"/>
    <col min="10261" max="10261" width="9.85546875" style="61" customWidth="1"/>
    <col min="10262" max="10262" width="9.28515625" style="61" bestFit="1" customWidth="1"/>
    <col min="10263" max="10263" width="3.85546875" style="61" customWidth="1"/>
    <col min="10264" max="10264" width="9.85546875" style="61" customWidth="1"/>
    <col min="10265" max="10265" width="7.28515625" style="61" customWidth="1"/>
    <col min="10266" max="10266" width="2.7109375" style="61" customWidth="1"/>
    <col min="10267" max="10267" width="10.28515625" style="61" customWidth="1"/>
    <col min="10268" max="10268" width="6.7109375" style="61" customWidth="1"/>
    <col min="10269" max="10501" width="9.140625" style="61"/>
    <col min="10502" max="10502" width="8.140625" style="61" customWidth="1"/>
    <col min="10503" max="10503" width="13.42578125" style="61" customWidth="1"/>
    <col min="10504" max="10504" width="9.7109375" style="61" customWidth="1"/>
    <col min="10505" max="10505" width="9.28515625" style="61" bestFit="1" customWidth="1"/>
    <col min="10506" max="10506" width="7.28515625" style="61" customWidth="1"/>
    <col min="10507" max="10507" width="9.42578125" style="61" customWidth="1"/>
    <col min="10508" max="10508" width="7.5703125" style="61" customWidth="1"/>
    <col min="10509" max="10509" width="10.5703125" style="61" customWidth="1"/>
    <col min="10510" max="10510" width="9.28515625" style="61" bestFit="1" customWidth="1"/>
    <col min="10511" max="10511" width="12.140625" style="61" customWidth="1"/>
    <col min="10512" max="10512" width="2.85546875" style="61" customWidth="1"/>
    <col min="10513" max="10513" width="10.140625" style="61" customWidth="1"/>
    <col min="10514" max="10514" width="9.28515625" style="61" bestFit="1" customWidth="1"/>
    <col min="10515" max="10515" width="9.140625" style="61"/>
    <col min="10516" max="10516" width="3" style="61" customWidth="1"/>
    <col min="10517" max="10517" width="9.85546875" style="61" customWidth="1"/>
    <col min="10518" max="10518" width="9.28515625" style="61" bestFit="1" customWidth="1"/>
    <col min="10519" max="10519" width="3.85546875" style="61" customWidth="1"/>
    <col min="10520" max="10520" width="9.85546875" style="61" customWidth="1"/>
    <col min="10521" max="10521" width="7.28515625" style="61" customWidth="1"/>
    <col min="10522" max="10522" width="2.7109375" style="61" customWidth="1"/>
    <col min="10523" max="10523" width="10.28515625" style="61" customWidth="1"/>
    <col min="10524" max="10524" width="6.7109375" style="61" customWidth="1"/>
    <col min="10525" max="10757" width="9.140625" style="61"/>
    <col min="10758" max="10758" width="8.140625" style="61" customWidth="1"/>
    <col min="10759" max="10759" width="13.42578125" style="61" customWidth="1"/>
    <col min="10760" max="10760" width="9.7109375" style="61" customWidth="1"/>
    <col min="10761" max="10761" width="9.28515625" style="61" bestFit="1" customWidth="1"/>
    <col min="10762" max="10762" width="7.28515625" style="61" customWidth="1"/>
    <col min="10763" max="10763" width="9.42578125" style="61" customWidth="1"/>
    <col min="10764" max="10764" width="7.5703125" style="61" customWidth="1"/>
    <col min="10765" max="10765" width="10.5703125" style="61" customWidth="1"/>
    <col min="10766" max="10766" width="9.28515625" style="61" bestFit="1" customWidth="1"/>
    <col min="10767" max="10767" width="12.140625" style="61" customWidth="1"/>
    <col min="10768" max="10768" width="2.85546875" style="61" customWidth="1"/>
    <col min="10769" max="10769" width="10.140625" style="61" customWidth="1"/>
    <col min="10770" max="10770" width="9.28515625" style="61" bestFit="1" customWidth="1"/>
    <col min="10771" max="10771" width="9.140625" style="61"/>
    <col min="10772" max="10772" width="3" style="61" customWidth="1"/>
    <col min="10773" max="10773" width="9.85546875" style="61" customWidth="1"/>
    <col min="10774" max="10774" width="9.28515625" style="61" bestFit="1" customWidth="1"/>
    <col min="10775" max="10775" width="3.85546875" style="61" customWidth="1"/>
    <col min="10776" max="10776" width="9.85546875" style="61" customWidth="1"/>
    <col min="10777" max="10777" width="7.28515625" style="61" customWidth="1"/>
    <col min="10778" max="10778" width="2.7109375" style="61" customWidth="1"/>
    <col min="10779" max="10779" width="10.28515625" style="61" customWidth="1"/>
    <col min="10780" max="10780" width="6.7109375" style="61" customWidth="1"/>
    <col min="10781" max="11013" width="9.140625" style="61"/>
    <col min="11014" max="11014" width="8.140625" style="61" customWidth="1"/>
    <col min="11015" max="11015" width="13.42578125" style="61" customWidth="1"/>
    <col min="11016" max="11016" width="9.7109375" style="61" customWidth="1"/>
    <col min="11017" max="11017" width="9.28515625" style="61" bestFit="1" customWidth="1"/>
    <col min="11018" max="11018" width="7.28515625" style="61" customWidth="1"/>
    <col min="11019" max="11019" width="9.42578125" style="61" customWidth="1"/>
    <col min="11020" max="11020" width="7.5703125" style="61" customWidth="1"/>
    <col min="11021" max="11021" width="10.5703125" style="61" customWidth="1"/>
    <col min="11022" max="11022" width="9.28515625" style="61" bestFit="1" customWidth="1"/>
    <col min="11023" max="11023" width="12.140625" style="61" customWidth="1"/>
    <col min="11024" max="11024" width="2.85546875" style="61" customWidth="1"/>
    <col min="11025" max="11025" width="10.140625" style="61" customWidth="1"/>
    <col min="11026" max="11026" width="9.28515625" style="61" bestFit="1" customWidth="1"/>
    <col min="11027" max="11027" width="9.140625" style="61"/>
    <col min="11028" max="11028" width="3" style="61" customWidth="1"/>
    <col min="11029" max="11029" width="9.85546875" style="61" customWidth="1"/>
    <col min="11030" max="11030" width="9.28515625" style="61" bestFit="1" customWidth="1"/>
    <col min="11031" max="11031" width="3.85546875" style="61" customWidth="1"/>
    <col min="11032" max="11032" width="9.85546875" style="61" customWidth="1"/>
    <col min="11033" max="11033" width="7.28515625" style="61" customWidth="1"/>
    <col min="11034" max="11034" width="2.7109375" style="61" customWidth="1"/>
    <col min="11035" max="11035" width="10.28515625" style="61" customWidth="1"/>
    <col min="11036" max="11036" width="6.7109375" style="61" customWidth="1"/>
    <col min="11037" max="11269" width="9.140625" style="61"/>
    <col min="11270" max="11270" width="8.140625" style="61" customWidth="1"/>
    <col min="11271" max="11271" width="13.42578125" style="61" customWidth="1"/>
    <col min="11272" max="11272" width="9.7109375" style="61" customWidth="1"/>
    <col min="11273" max="11273" width="9.28515625" style="61" bestFit="1" customWidth="1"/>
    <col min="11274" max="11274" width="7.28515625" style="61" customWidth="1"/>
    <col min="11275" max="11275" width="9.42578125" style="61" customWidth="1"/>
    <col min="11276" max="11276" width="7.5703125" style="61" customWidth="1"/>
    <col min="11277" max="11277" width="10.5703125" style="61" customWidth="1"/>
    <col min="11278" max="11278" width="9.28515625" style="61" bestFit="1" customWidth="1"/>
    <col min="11279" max="11279" width="12.140625" style="61" customWidth="1"/>
    <col min="11280" max="11280" width="2.85546875" style="61" customWidth="1"/>
    <col min="11281" max="11281" width="10.140625" style="61" customWidth="1"/>
    <col min="11282" max="11282" width="9.28515625" style="61" bestFit="1" customWidth="1"/>
    <col min="11283" max="11283" width="9.140625" style="61"/>
    <col min="11284" max="11284" width="3" style="61" customWidth="1"/>
    <col min="11285" max="11285" width="9.85546875" style="61" customWidth="1"/>
    <col min="11286" max="11286" width="9.28515625" style="61" bestFit="1" customWidth="1"/>
    <col min="11287" max="11287" width="3.85546875" style="61" customWidth="1"/>
    <col min="11288" max="11288" width="9.85546875" style="61" customWidth="1"/>
    <col min="11289" max="11289" width="7.28515625" style="61" customWidth="1"/>
    <col min="11290" max="11290" width="2.7109375" style="61" customWidth="1"/>
    <col min="11291" max="11291" width="10.28515625" style="61" customWidth="1"/>
    <col min="11292" max="11292" width="6.7109375" style="61" customWidth="1"/>
    <col min="11293" max="11525" width="9.140625" style="61"/>
    <col min="11526" max="11526" width="8.140625" style="61" customWidth="1"/>
    <col min="11527" max="11527" width="13.42578125" style="61" customWidth="1"/>
    <col min="11528" max="11528" width="9.7109375" style="61" customWidth="1"/>
    <col min="11529" max="11529" width="9.28515625" style="61" bestFit="1" customWidth="1"/>
    <col min="11530" max="11530" width="7.28515625" style="61" customWidth="1"/>
    <col min="11531" max="11531" width="9.42578125" style="61" customWidth="1"/>
    <col min="11532" max="11532" width="7.5703125" style="61" customWidth="1"/>
    <col min="11533" max="11533" width="10.5703125" style="61" customWidth="1"/>
    <col min="11534" max="11534" width="9.28515625" style="61" bestFit="1" customWidth="1"/>
    <col min="11535" max="11535" width="12.140625" style="61" customWidth="1"/>
    <col min="11536" max="11536" width="2.85546875" style="61" customWidth="1"/>
    <col min="11537" max="11537" width="10.140625" style="61" customWidth="1"/>
    <col min="11538" max="11538" width="9.28515625" style="61" bestFit="1" customWidth="1"/>
    <col min="11539" max="11539" width="9.140625" style="61"/>
    <col min="11540" max="11540" width="3" style="61" customWidth="1"/>
    <col min="11541" max="11541" width="9.85546875" style="61" customWidth="1"/>
    <col min="11542" max="11542" width="9.28515625" style="61" bestFit="1" customWidth="1"/>
    <col min="11543" max="11543" width="3.85546875" style="61" customWidth="1"/>
    <col min="11544" max="11544" width="9.85546875" style="61" customWidth="1"/>
    <col min="11545" max="11545" width="7.28515625" style="61" customWidth="1"/>
    <col min="11546" max="11546" width="2.7109375" style="61" customWidth="1"/>
    <col min="11547" max="11547" width="10.28515625" style="61" customWidth="1"/>
    <col min="11548" max="11548" width="6.7109375" style="61" customWidth="1"/>
    <col min="11549" max="11781" width="9.140625" style="61"/>
    <col min="11782" max="11782" width="8.140625" style="61" customWidth="1"/>
    <col min="11783" max="11783" width="13.42578125" style="61" customWidth="1"/>
    <col min="11784" max="11784" width="9.7109375" style="61" customWidth="1"/>
    <col min="11785" max="11785" width="9.28515625" style="61" bestFit="1" customWidth="1"/>
    <col min="11786" max="11786" width="7.28515625" style="61" customWidth="1"/>
    <col min="11787" max="11787" width="9.42578125" style="61" customWidth="1"/>
    <col min="11788" max="11788" width="7.5703125" style="61" customWidth="1"/>
    <col min="11789" max="11789" width="10.5703125" style="61" customWidth="1"/>
    <col min="11790" max="11790" width="9.28515625" style="61" bestFit="1" customWidth="1"/>
    <col min="11791" max="11791" width="12.140625" style="61" customWidth="1"/>
    <col min="11792" max="11792" width="2.85546875" style="61" customWidth="1"/>
    <col min="11793" max="11793" width="10.140625" style="61" customWidth="1"/>
    <col min="11794" max="11794" width="9.28515625" style="61" bestFit="1" customWidth="1"/>
    <col min="11795" max="11795" width="9.140625" style="61"/>
    <col min="11796" max="11796" width="3" style="61" customWidth="1"/>
    <col min="11797" max="11797" width="9.85546875" style="61" customWidth="1"/>
    <col min="11798" max="11798" width="9.28515625" style="61" bestFit="1" customWidth="1"/>
    <col min="11799" max="11799" width="3.85546875" style="61" customWidth="1"/>
    <col min="11800" max="11800" width="9.85546875" style="61" customWidth="1"/>
    <col min="11801" max="11801" width="7.28515625" style="61" customWidth="1"/>
    <col min="11802" max="11802" width="2.7109375" style="61" customWidth="1"/>
    <col min="11803" max="11803" width="10.28515625" style="61" customWidth="1"/>
    <col min="11804" max="11804" width="6.7109375" style="61" customWidth="1"/>
    <col min="11805" max="12037" width="9.140625" style="61"/>
    <col min="12038" max="12038" width="8.140625" style="61" customWidth="1"/>
    <col min="12039" max="12039" width="13.42578125" style="61" customWidth="1"/>
    <col min="12040" max="12040" width="9.7109375" style="61" customWidth="1"/>
    <col min="12041" max="12041" width="9.28515625" style="61" bestFit="1" customWidth="1"/>
    <col min="12042" max="12042" width="7.28515625" style="61" customWidth="1"/>
    <col min="12043" max="12043" width="9.42578125" style="61" customWidth="1"/>
    <col min="12044" max="12044" width="7.5703125" style="61" customWidth="1"/>
    <col min="12045" max="12045" width="10.5703125" style="61" customWidth="1"/>
    <col min="12046" max="12046" width="9.28515625" style="61" bestFit="1" customWidth="1"/>
    <col min="12047" max="12047" width="12.140625" style="61" customWidth="1"/>
    <col min="12048" max="12048" width="2.85546875" style="61" customWidth="1"/>
    <col min="12049" max="12049" width="10.140625" style="61" customWidth="1"/>
    <col min="12050" max="12050" width="9.28515625" style="61" bestFit="1" customWidth="1"/>
    <col min="12051" max="12051" width="9.140625" style="61"/>
    <col min="12052" max="12052" width="3" style="61" customWidth="1"/>
    <col min="12053" max="12053" width="9.85546875" style="61" customWidth="1"/>
    <col min="12054" max="12054" width="9.28515625" style="61" bestFit="1" customWidth="1"/>
    <col min="12055" max="12055" width="3.85546875" style="61" customWidth="1"/>
    <col min="12056" max="12056" width="9.85546875" style="61" customWidth="1"/>
    <col min="12057" max="12057" width="7.28515625" style="61" customWidth="1"/>
    <col min="12058" max="12058" width="2.7109375" style="61" customWidth="1"/>
    <col min="12059" max="12059" width="10.28515625" style="61" customWidth="1"/>
    <col min="12060" max="12060" width="6.7109375" style="61" customWidth="1"/>
    <col min="12061" max="12293" width="9.140625" style="61"/>
    <col min="12294" max="12294" width="8.140625" style="61" customWidth="1"/>
    <col min="12295" max="12295" width="13.42578125" style="61" customWidth="1"/>
    <col min="12296" max="12296" width="9.7109375" style="61" customWidth="1"/>
    <col min="12297" max="12297" width="9.28515625" style="61" bestFit="1" customWidth="1"/>
    <col min="12298" max="12298" width="7.28515625" style="61" customWidth="1"/>
    <col min="12299" max="12299" width="9.42578125" style="61" customWidth="1"/>
    <col min="12300" max="12300" width="7.5703125" style="61" customWidth="1"/>
    <col min="12301" max="12301" width="10.5703125" style="61" customWidth="1"/>
    <col min="12302" max="12302" width="9.28515625" style="61" bestFit="1" customWidth="1"/>
    <col min="12303" max="12303" width="12.140625" style="61" customWidth="1"/>
    <col min="12304" max="12304" width="2.85546875" style="61" customWidth="1"/>
    <col min="12305" max="12305" width="10.140625" style="61" customWidth="1"/>
    <col min="12306" max="12306" width="9.28515625" style="61" bestFit="1" customWidth="1"/>
    <col min="12307" max="12307" width="9.140625" style="61"/>
    <col min="12308" max="12308" width="3" style="61" customWidth="1"/>
    <col min="12309" max="12309" width="9.85546875" style="61" customWidth="1"/>
    <col min="12310" max="12310" width="9.28515625" style="61" bestFit="1" customWidth="1"/>
    <col min="12311" max="12311" width="3.85546875" style="61" customWidth="1"/>
    <col min="12312" max="12312" width="9.85546875" style="61" customWidth="1"/>
    <col min="12313" max="12313" width="7.28515625" style="61" customWidth="1"/>
    <col min="12314" max="12314" width="2.7109375" style="61" customWidth="1"/>
    <col min="12315" max="12315" width="10.28515625" style="61" customWidth="1"/>
    <col min="12316" max="12316" width="6.7109375" style="61" customWidth="1"/>
    <col min="12317" max="12549" width="9.140625" style="61"/>
    <col min="12550" max="12550" width="8.140625" style="61" customWidth="1"/>
    <col min="12551" max="12551" width="13.42578125" style="61" customWidth="1"/>
    <col min="12552" max="12552" width="9.7109375" style="61" customWidth="1"/>
    <col min="12553" max="12553" width="9.28515625" style="61" bestFit="1" customWidth="1"/>
    <col min="12554" max="12554" width="7.28515625" style="61" customWidth="1"/>
    <col min="12555" max="12555" width="9.42578125" style="61" customWidth="1"/>
    <col min="12556" max="12556" width="7.5703125" style="61" customWidth="1"/>
    <col min="12557" max="12557" width="10.5703125" style="61" customWidth="1"/>
    <col min="12558" max="12558" width="9.28515625" style="61" bestFit="1" customWidth="1"/>
    <col min="12559" max="12559" width="12.140625" style="61" customWidth="1"/>
    <col min="12560" max="12560" width="2.85546875" style="61" customWidth="1"/>
    <col min="12561" max="12561" width="10.140625" style="61" customWidth="1"/>
    <col min="12562" max="12562" width="9.28515625" style="61" bestFit="1" customWidth="1"/>
    <col min="12563" max="12563" width="9.140625" style="61"/>
    <col min="12564" max="12564" width="3" style="61" customWidth="1"/>
    <col min="12565" max="12565" width="9.85546875" style="61" customWidth="1"/>
    <col min="12566" max="12566" width="9.28515625" style="61" bestFit="1" customWidth="1"/>
    <col min="12567" max="12567" width="3.85546875" style="61" customWidth="1"/>
    <col min="12568" max="12568" width="9.85546875" style="61" customWidth="1"/>
    <col min="12569" max="12569" width="7.28515625" style="61" customWidth="1"/>
    <col min="12570" max="12570" width="2.7109375" style="61" customWidth="1"/>
    <col min="12571" max="12571" width="10.28515625" style="61" customWidth="1"/>
    <col min="12572" max="12572" width="6.7109375" style="61" customWidth="1"/>
    <col min="12573" max="12805" width="9.140625" style="61"/>
    <col min="12806" max="12806" width="8.140625" style="61" customWidth="1"/>
    <col min="12807" max="12807" width="13.42578125" style="61" customWidth="1"/>
    <col min="12808" max="12808" width="9.7109375" style="61" customWidth="1"/>
    <col min="12809" max="12809" width="9.28515625" style="61" bestFit="1" customWidth="1"/>
    <col min="12810" max="12810" width="7.28515625" style="61" customWidth="1"/>
    <col min="12811" max="12811" width="9.42578125" style="61" customWidth="1"/>
    <col min="12812" max="12812" width="7.5703125" style="61" customWidth="1"/>
    <col min="12813" max="12813" width="10.5703125" style="61" customWidth="1"/>
    <col min="12814" max="12814" width="9.28515625" style="61" bestFit="1" customWidth="1"/>
    <col min="12815" max="12815" width="12.140625" style="61" customWidth="1"/>
    <col min="12816" max="12816" width="2.85546875" style="61" customWidth="1"/>
    <col min="12817" max="12817" width="10.140625" style="61" customWidth="1"/>
    <col min="12818" max="12818" width="9.28515625" style="61" bestFit="1" customWidth="1"/>
    <col min="12819" max="12819" width="9.140625" style="61"/>
    <col min="12820" max="12820" width="3" style="61" customWidth="1"/>
    <col min="12821" max="12821" width="9.85546875" style="61" customWidth="1"/>
    <col min="12822" max="12822" width="9.28515625" style="61" bestFit="1" customWidth="1"/>
    <col min="12823" max="12823" width="3.85546875" style="61" customWidth="1"/>
    <col min="12824" max="12824" width="9.85546875" style="61" customWidth="1"/>
    <col min="12825" max="12825" width="7.28515625" style="61" customWidth="1"/>
    <col min="12826" max="12826" width="2.7109375" style="61" customWidth="1"/>
    <col min="12827" max="12827" width="10.28515625" style="61" customWidth="1"/>
    <col min="12828" max="12828" width="6.7109375" style="61" customWidth="1"/>
    <col min="12829" max="13061" width="9.140625" style="61"/>
    <col min="13062" max="13062" width="8.140625" style="61" customWidth="1"/>
    <col min="13063" max="13063" width="13.42578125" style="61" customWidth="1"/>
    <col min="13064" max="13064" width="9.7109375" style="61" customWidth="1"/>
    <col min="13065" max="13065" width="9.28515625" style="61" bestFit="1" customWidth="1"/>
    <col min="13066" max="13066" width="7.28515625" style="61" customWidth="1"/>
    <col min="13067" max="13067" width="9.42578125" style="61" customWidth="1"/>
    <col min="13068" max="13068" width="7.5703125" style="61" customWidth="1"/>
    <col min="13069" max="13069" width="10.5703125" style="61" customWidth="1"/>
    <col min="13070" max="13070" width="9.28515625" style="61" bestFit="1" customWidth="1"/>
    <col min="13071" max="13071" width="12.140625" style="61" customWidth="1"/>
    <col min="13072" max="13072" width="2.85546875" style="61" customWidth="1"/>
    <col min="13073" max="13073" width="10.140625" style="61" customWidth="1"/>
    <col min="13074" max="13074" width="9.28515625" style="61" bestFit="1" customWidth="1"/>
    <col min="13075" max="13075" width="9.140625" style="61"/>
    <col min="13076" max="13076" width="3" style="61" customWidth="1"/>
    <col min="13077" max="13077" width="9.85546875" style="61" customWidth="1"/>
    <col min="13078" max="13078" width="9.28515625" style="61" bestFit="1" customWidth="1"/>
    <col min="13079" max="13079" width="3.85546875" style="61" customWidth="1"/>
    <col min="13080" max="13080" width="9.85546875" style="61" customWidth="1"/>
    <col min="13081" max="13081" width="7.28515625" style="61" customWidth="1"/>
    <col min="13082" max="13082" width="2.7109375" style="61" customWidth="1"/>
    <col min="13083" max="13083" width="10.28515625" style="61" customWidth="1"/>
    <col min="13084" max="13084" width="6.7109375" style="61" customWidth="1"/>
    <col min="13085" max="13317" width="9.140625" style="61"/>
    <col min="13318" max="13318" width="8.140625" style="61" customWidth="1"/>
    <col min="13319" max="13319" width="13.42578125" style="61" customWidth="1"/>
    <col min="13320" max="13320" width="9.7109375" style="61" customWidth="1"/>
    <col min="13321" max="13321" width="9.28515625" style="61" bestFit="1" customWidth="1"/>
    <col min="13322" max="13322" width="7.28515625" style="61" customWidth="1"/>
    <col min="13323" max="13323" width="9.42578125" style="61" customWidth="1"/>
    <col min="13324" max="13324" width="7.5703125" style="61" customWidth="1"/>
    <col min="13325" max="13325" width="10.5703125" style="61" customWidth="1"/>
    <col min="13326" max="13326" width="9.28515625" style="61" bestFit="1" customWidth="1"/>
    <col min="13327" max="13327" width="12.140625" style="61" customWidth="1"/>
    <col min="13328" max="13328" width="2.85546875" style="61" customWidth="1"/>
    <col min="13329" max="13329" width="10.140625" style="61" customWidth="1"/>
    <col min="13330" max="13330" width="9.28515625" style="61" bestFit="1" customWidth="1"/>
    <col min="13331" max="13331" width="9.140625" style="61"/>
    <col min="13332" max="13332" width="3" style="61" customWidth="1"/>
    <col min="13333" max="13333" width="9.85546875" style="61" customWidth="1"/>
    <col min="13334" max="13334" width="9.28515625" style="61" bestFit="1" customWidth="1"/>
    <col min="13335" max="13335" width="3.85546875" style="61" customWidth="1"/>
    <col min="13336" max="13336" width="9.85546875" style="61" customWidth="1"/>
    <col min="13337" max="13337" width="7.28515625" style="61" customWidth="1"/>
    <col min="13338" max="13338" width="2.7109375" style="61" customWidth="1"/>
    <col min="13339" max="13339" width="10.28515625" style="61" customWidth="1"/>
    <col min="13340" max="13340" width="6.7109375" style="61" customWidth="1"/>
    <col min="13341" max="13573" width="9.140625" style="61"/>
    <col min="13574" max="13574" width="8.140625" style="61" customWidth="1"/>
    <col min="13575" max="13575" width="13.42578125" style="61" customWidth="1"/>
    <col min="13576" max="13576" width="9.7109375" style="61" customWidth="1"/>
    <col min="13577" max="13577" width="9.28515625" style="61" bestFit="1" customWidth="1"/>
    <col min="13578" max="13578" width="7.28515625" style="61" customWidth="1"/>
    <col min="13579" max="13579" width="9.42578125" style="61" customWidth="1"/>
    <col min="13580" max="13580" width="7.5703125" style="61" customWidth="1"/>
    <col min="13581" max="13581" width="10.5703125" style="61" customWidth="1"/>
    <col min="13582" max="13582" width="9.28515625" style="61" bestFit="1" customWidth="1"/>
    <col min="13583" max="13583" width="12.140625" style="61" customWidth="1"/>
    <col min="13584" max="13584" width="2.85546875" style="61" customWidth="1"/>
    <col min="13585" max="13585" width="10.140625" style="61" customWidth="1"/>
    <col min="13586" max="13586" width="9.28515625" style="61" bestFit="1" customWidth="1"/>
    <col min="13587" max="13587" width="9.140625" style="61"/>
    <col min="13588" max="13588" width="3" style="61" customWidth="1"/>
    <col min="13589" max="13589" width="9.85546875" style="61" customWidth="1"/>
    <col min="13590" max="13590" width="9.28515625" style="61" bestFit="1" customWidth="1"/>
    <col min="13591" max="13591" width="3.85546875" style="61" customWidth="1"/>
    <col min="13592" max="13592" width="9.85546875" style="61" customWidth="1"/>
    <col min="13593" max="13593" width="7.28515625" style="61" customWidth="1"/>
    <col min="13594" max="13594" width="2.7109375" style="61" customWidth="1"/>
    <col min="13595" max="13595" width="10.28515625" style="61" customWidth="1"/>
    <col min="13596" max="13596" width="6.7109375" style="61" customWidth="1"/>
    <col min="13597" max="13829" width="9.140625" style="61"/>
    <col min="13830" max="13830" width="8.140625" style="61" customWidth="1"/>
    <col min="13831" max="13831" width="13.42578125" style="61" customWidth="1"/>
    <col min="13832" max="13832" width="9.7109375" style="61" customWidth="1"/>
    <col min="13833" max="13833" width="9.28515625" style="61" bestFit="1" customWidth="1"/>
    <col min="13834" max="13834" width="7.28515625" style="61" customWidth="1"/>
    <col min="13835" max="13835" width="9.42578125" style="61" customWidth="1"/>
    <col min="13836" max="13836" width="7.5703125" style="61" customWidth="1"/>
    <col min="13837" max="13837" width="10.5703125" style="61" customWidth="1"/>
    <col min="13838" max="13838" width="9.28515625" style="61" bestFit="1" customWidth="1"/>
    <col min="13839" max="13839" width="12.140625" style="61" customWidth="1"/>
    <col min="13840" max="13840" width="2.85546875" style="61" customWidth="1"/>
    <col min="13841" max="13841" width="10.140625" style="61" customWidth="1"/>
    <col min="13842" max="13842" width="9.28515625" style="61" bestFit="1" customWidth="1"/>
    <col min="13843" max="13843" width="9.140625" style="61"/>
    <col min="13844" max="13844" width="3" style="61" customWidth="1"/>
    <col min="13845" max="13845" width="9.85546875" style="61" customWidth="1"/>
    <col min="13846" max="13846" width="9.28515625" style="61" bestFit="1" customWidth="1"/>
    <col min="13847" max="13847" width="3.85546875" style="61" customWidth="1"/>
    <col min="13848" max="13848" width="9.85546875" style="61" customWidth="1"/>
    <col min="13849" max="13849" width="7.28515625" style="61" customWidth="1"/>
    <col min="13850" max="13850" width="2.7109375" style="61" customWidth="1"/>
    <col min="13851" max="13851" width="10.28515625" style="61" customWidth="1"/>
    <col min="13852" max="13852" width="6.7109375" style="61" customWidth="1"/>
    <col min="13853" max="14085" width="9.140625" style="61"/>
    <col min="14086" max="14086" width="8.140625" style="61" customWidth="1"/>
    <col min="14087" max="14087" width="13.42578125" style="61" customWidth="1"/>
    <col min="14088" max="14088" width="9.7109375" style="61" customWidth="1"/>
    <col min="14089" max="14089" width="9.28515625" style="61" bestFit="1" customWidth="1"/>
    <col min="14090" max="14090" width="7.28515625" style="61" customWidth="1"/>
    <col min="14091" max="14091" width="9.42578125" style="61" customWidth="1"/>
    <col min="14092" max="14092" width="7.5703125" style="61" customWidth="1"/>
    <col min="14093" max="14093" width="10.5703125" style="61" customWidth="1"/>
    <col min="14094" max="14094" width="9.28515625" style="61" bestFit="1" customWidth="1"/>
    <col min="14095" max="14095" width="12.140625" style="61" customWidth="1"/>
    <col min="14096" max="14096" width="2.85546875" style="61" customWidth="1"/>
    <col min="14097" max="14097" width="10.140625" style="61" customWidth="1"/>
    <col min="14098" max="14098" width="9.28515625" style="61" bestFit="1" customWidth="1"/>
    <col min="14099" max="14099" width="9.140625" style="61"/>
    <col min="14100" max="14100" width="3" style="61" customWidth="1"/>
    <col min="14101" max="14101" width="9.85546875" style="61" customWidth="1"/>
    <col min="14102" max="14102" width="9.28515625" style="61" bestFit="1" customWidth="1"/>
    <col min="14103" max="14103" width="3.85546875" style="61" customWidth="1"/>
    <col min="14104" max="14104" width="9.85546875" style="61" customWidth="1"/>
    <col min="14105" max="14105" width="7.28515625" style="61" customWidth="1"/>
    <col min="14106" max="14106" width="2.7109375" style="61" customWidth="1"/>
    <col min="14107" max="14107" width="10.28515625" style="61" customWidth="1"/>
    <col min="14108" max="14108" width="6.7109375" style="61" customWidth="1"/>
    <col min="14109" max="14341" width="9.140625" style="61"/>
    <col min="14342" max="14342" width="8.140625" style="61" customWidth="1"/>
    <col min="14343" max="14343" width="13.42578125" style="61" customWidth="1"/>
    <col min="14344" max="14344" width="9.7109375" style="61" customWidth="1"/>
    <col min="14345" max="14345" width="9.28515625" style="61" bestFit="1" customWidth="1"/>
    <col min="14346" max="14346" width="7.28515625" style="61" customWidth="1"/>
    <col min="14347" max="14347" width="9.42578125" style="61" customWidth="1"/>
    <col min="14348" max="14348" width="7.5703125" style="61" customWidth="1"/>
    <col min="14349" max="14349" width="10.5703125" style="61" customWidth="1"/>
    <col min="14350" max="14350" width="9.28515625" style="61" bestFit="1" customWidth="1"/>
    <col min="14351" max="14351" width="12.140625" style="61" customWidth="1"/>
    <col min="14352" max="14352" width="2.85546875" style="61" customWidth="1"/>
    <col min="14353" max="14353" width="10.140625" style="61" customWidth="1"/>
    <col min="14354" max="14354" width="9.28515625" style="61" bestFit="1" customWidth="1"/>
    <col min="14355" max="14355" width="9.140625" style="61"/>
    <col min="14356" max="14356" width="3" style="61" customWidth="1"/>
    <col min="14357" max="14357" width="9.85546875" style="61" customWidth="1"/>
    <col min="14358" max="14358" width="9.28515625" style="61" bestFit="1" customWidth="1"/>
    <col min="14359" max="14359" width="3.85546875" style="61" customWidth="1"/>
    <col min="14360" max="14360" width="9.85546875" style="61" customWidth="1"/>
    <col min="14361" max="14361" width="7.28515625" style="61" customWidth="1"/>
    <col min="14362" max="14362" width="2.7109375" style="61" customWidth="1"/>
    <col min="14363" max="14363" width="10.28515625" style="61" customWidth="1"/>
    <col min="14364" max="14364" width="6.7109375" style="61" customWidth="1"/>
    <col min="14365" max="14597" width="9.140625" style="61"/>
    <col min="14598" max="14598" width="8.140625" style="61" customWidth="1"/>
    <col min="14599" max="14599" width="13.42578125" style="61" customWidth="1"/>
    <col min="14600" max="14600" width="9.7109375" style="61" customWidth="1"/>
    <col min="14601" max="14601" width="9.28515625" style="61" bestFit="1" customWidth="1"/>
    <col min="14602" max="14602" width="7.28515625" style="61" customWidth="1"/>
    <col min="14603" max="14603" width="9.42578125" style="61" customWidth="1"/>
    <col min="14604" max="14604" width="7.5703125" style="61" customWidth="1"/>
    <col min="14605" max="14605" width="10.5703125" style="61" customWidth="1"/>
    <col min="14606" max="14606" width="9.28515625" style="61" bestFit="1" customWidth="1"/>
    <col min="14607" max="14607" width="12.140625" style="61" customWidth="1"/>
    <col min="14608" max="14608" width="2.85546875" style="61" customWidth="1"/>
    <col min="14609" max="14609" width="10.140625" style="61" customWidth="1"/>
    <col min="14610" max="14610" width="9.28515625" style="61" bestFit="1" customWidth="1"/>
    <col min="14611" max="14611" width="9.140625" style="61"/>
    <col min="14612" max="14612" width="3" style="61" customWidth="1"/>
    <col min="14613" max="14613" width="9.85546875" style="61" customWidth="1"/>
    <col min="14614" max="14614" width="9.28515625" style="61" bestFit="1" customWidth="1"/>
    <col min="14615" max="14615" width="3.85546875" style="61" customWidth="1"/>
    <col min="14616" max="14616" width="9.85546875" style="61" customWidth="1"/>
    <col min="14617" max="14617" width="7.28515625" style="61" customWidth="1"/>
    <col min="14618" max="14618" width="2.7109375" style="61" customWidth="1"/>
    <col min="14619" max="14619" width="10.28515625" style="61" customWidth="1"/>
    <col min="14620" max="14620" width="6.7109375" style="61" customWidth="1"/>
    <col min="14621" max="14853" width="9.140625" style="61"/>
    <col min="14854" max="14854" width="8.140625" style="61" customWidth="1"/>
    <col min="14855" max="14855" width="13.42578125" style="61" customWidth="1"/>
    <col min="14856" max="14856" width="9.7109375" style="61" customWidth="1"/>
    <col min="14857" max="14857" width="9.28515625" style="61" bestFit="1" customWidth="1"/>
    <col min="14858" max="14858" width="7.28515625" style="61" customWidth="1"/>
    <col min="14859" max="14859" width="9.42578125" style="61" customWidth="1"/>
    <col min="14860" max="14860" width="7.5703125" style="61" customWidth="1"/>
    <col min="14861" max="14861" width="10.5703125" style="61" customWidth="1"/>
    <col min="14862" max="14862" width="9.28515625" style="61" bestFit="1" customWidth="1"/>
    <col min="14863" max="14863" width="12.140625" style="61" customWidth="1"/>
    <col min="14864" max="14864" width="2.85546875" style="61" customWidth="1"/>
    <col min="14865" max="14865" width="10.140625" style="61" customWidth="1"/>
    <col min="14866" max="14866" width="9.28515625" style="61" bestFit="1" customWidth="1"/>
    <col min="14867" max="14867" width="9.140625" style="61"/>
    <col min="14868" max="14868" width="3" style="61" customWidth="1"/>
    <col min="14869" max="14869" width="9.85546875" style="61" customWidth="1"/>
    <col min="14870" max="14870" width="9.28515625" style="61" bestFit="1" customWidth="1"/>
    <col min="14871" max="14871" width="3.85546875" style="61" customWidth="1"/>
    <col min="14872" max="14872" width="9.85546875" style="61" customWidth="1"/>
    <col min="14873" max="14873" width="7.28515625" style="61" customWidth="1"/>
    <col min="14874" max="14874" width="2.7109375" style="61" customWidth="1"/>
    <col min="14875" max="14875" width="10.28515625" style="61" customWidth="1"/>
    <col min="14876" max="14876" width="6.7109375" style="61" customWidth="1"/>
    <col min="14877" max="15109" width="9.140625" style="61"/>
    <col min="15110" max="15110" width="8.140625" style="61" customWidth="1"/>
    <col min="15111" max="15111" width="13.42578125" style="61" customWidth="1"/>
    <col min="15112" max="15112" width="9.7109375" style="61" customWidth="1"/>
    <col min="15113" max="15113" width="9.28515625" style="61" bestFit="1" customWidth="1"/>
    <col min="15114" max="15114" width="7.28515625" style="61" customWidth="1"/>
    <col min="15115" max="15115" width="9.42578125" style="61" customWidth="1"/>
    <col min="15116" max="15116" width="7.5703125" style="61" customWidth="1"/>
    <col min="15117" max="15117" width="10.5703125" style="61" customWidth="1"/>
    <col min="15118" max="15118" width="9.28515625" style="61" bestFit="1" customWidth="1"/>
    <col min="15119" max="15119" width="12.140625" style="61" customWidth="1"/>
    <col min="15120" max="15120" width="2.85546875" style="61" customWidth="1"/>
    <col min="15121" max="15121" width="10.140625" style="61" customWidth="1"/>
    <col min="15122" max="15122" width="9.28515625" style="61" bestFit="1" customWidth="1"/>
    <col min="15123" max="15123" width="9.140625" style="61"/>
    <col min="15124" max="15124" width="3" style="61" customWidth="1"/>
    <col min="15125" max="15125" width="9.85546875" style="61" customWidth="1"/>
    <col min="15126" max="15126" width="9.28515625" style="61" bestFit="1" customWidth="1"/>
    <col min="15127" max="15127" width="3.85546875" style="61" customWidth="1"/>
    <col min="15128" max="15128" width="9.85546875" style="61" customWidth="1"/>
    <col min="15129" max="15129" width="7.28515625" style="61" customWidth="1"/>
    <col min="15130" max="15130" width="2.7109375" style="61" customWidth="1"/>
    <col min="15131" max="15131" width="10.28515625" style="61" customWidth="1"/>
    <col min="15132" max="15132" width="6.7109375" style="61" customWidth="1"/>
    <col min="15133" max="15365" width="9.140625" style="61"/>
    <col min="15366" max="15366" width="8.140625" style="61" customWidth="1"/>
    <col min="15367" max="15367" width="13.42578125" style="61" customWidth="1"/>
    <col min="15368" max="15368" width="9.7109375" style="61" customWidth="1"/>
    <col min="15369" max="15369" width="9.28515625" style="61" bestFit="1" customWidth="1"/>
    <col min="15370" max="15370" width="7.28515625" style="61" customWidth="1"/>
    <col min="15371" max="15371" width="9.42578125" style="61" customWidth="1"/>
    <col min="15372" max="15372" width="7.5703125" style="61" customWidth="1"/>
    <col min="15373" max="15373" width="10.5703125" style="61" customWidth="1"/>
    <col min="15374" max="15374" width="9.28515625" style="61" bestFit="1" customWidth="1"/>
    <col min="15375" max="15375" width="12.140625" style="61" customWidth="1"/>
    <col min="15376" max="15376" width="2.85546875" style="61" customWidth="1"/>
    <col min="15377" max="15377" width="10.140625" style="61" customWidth="1"/>
    <col min="15378" max="15378" width="9.28515625" style="61" bestFit="1" customWidth="1"/>
    <col min="15379" max="15379" width="9.140625" style="61"/>
    <col min="15380" max="15380" width="3" style="61" customWidth="1"/>
    <col min="15381" max="15381" width="9.85546875" style="61" customWidth="1"/>
    <col min="15382" max="15382" width="9.28515625" style="61" bestFit="1" customWidth="1"/>
    <col min="15383" max="15383" width="3.85546875" style="61" customWidth="1"/>
    <col min="15384" max="15384" width="9.85546875" style="61" customWidth="1"/>
    <col min="15385" max="15385" width="7.28515625" style="61" customWidth="1"/>
    <col min="15386" max="15386" width="2.7109375" style="61" customWidth="1"/>
    <col min="15387" max="15387" width="10.28515625" style="61" customWidth="1"/>
    <col min="15388" max="15388" width="6.7109375" style="61" customWidth="1"/>
    <col min="15389" max="15621" width="9.140625" style="61"/>
    <col min="15622" max="15622" width="8.140625" style="61" customWidth="1"/>
    <col min="15623" max="15623" width="13.42578125" style="61" customWidth="1"/>
    <col min="15624" max="15624" width="9.7109375" style="61" customWidth="1"/>
    <col min="15625" max="15625" width="9.28515625" style="61" bestFit="1" customWidth="1"/>
    <col min="15626" max="15626" width="7.28515625" style="61" customWidth="1"/>
    <col min="15627" max="15627" width="9.42578125" style="61" customWidth="1"/>
    <col min="15628" max="15628" width="7.5703125" style="61" customWidth="1"/>
    <col min="15629" max="15629" width="10.5703125" style="61" customWidth="1"/>
    <col min="15630" max="15630" width="9.28515625" style="61" bestFit="1" customWidth="1"/>
    <col min="15631" max="15631" width="12.140625" style="61" customWidth="1"/>
    <col min="15632" max="15632" width="2.85546875" style="61" customWidth="1"/>
    <col min="15633" max="15633" width="10.140625" style="61" customWidth="1"/>
    <col min="15634" max="15634" width="9.28515625" style="61" bestFit="1" customWidth="1"/>
    <col min="15635" max="15635" width="9.140625" style="61"/>
    <col min="15636" max="15636" width="3" style="61" customWidth="1"/>
    <col min="15637" max="15637" width="9.85546875" style="61" customWidth="1"/>
    <col min="15638" max="15638" width="9.28515625" style="61" bestFit="1" customWidth="1"/>
    <col min="15639" max="15639" width="3.85546875" style="61" customWidth="1"/>
    <col min="15640" max="15640" width="9.85546875" style="61" customWidth="1"/>
    <col min="15641" max="15641" width="7.28515625" style="61" customWidth="1"/>
    <col min="15642" max="15642" width="2.7109375" style="61" customWidth="1"/>
    <col min="15643" max="15643" width="10.28515625" style="61" customWidth="1"/>
    <col min="15644" max="15644" width="6.7109375" style="61" customWidth="1"/>
    <col min="15645" max="15877" width="9.140625" style="61"/>
    <col min="15878" max="15878" width="8.140625" style="61" customWidth="1"/>
    <col min="15879" max="15879" width="13.42578125" style="61" customWidth="1"/>
    <col min="15880" max="15880" width="9.7109375" style="61" customWidth="1"/>
    <col min="15881" max="15881" width="9.28515625" style="61" bestFit="1" customWidth="1"/>
    <col min="15882" max="15882" width="7.28515625" style="61" customWidth="1"/>
    <col min="15883" max="15883" width="9.42578125" style="61" customWidth="1"/>
    <col min="15884" max="15884" width="7.5703125" style="61" customWidth="1"/>
    <col min="15885" max="15885" width="10.5703125" style="61" customWidth="1"/>
    <col min="15886" max="15886" width="9.28515625" style="61" bestFit="1" customWidth="1"/>
    <col min="15887" max="15887" width="12.140625" style="61" customWidth="1"/>
    <col min="15888" max="15888" width="2.85546875" style="61" customWidth="1"/>
    <col min="15889" max="15889" width="10.140625" style="61" customWidth="1"/>
    <col min="15890" max="15890" width="9.28515625" style="61" bestFit="1" customWidth="1"/>
    <col min="15891" max="15891" width="9.140625" style="61"/>
    <col min="15892" max="15892" width="3" style="61" customWidth="1"/>
    <col min="15893" max="15893" width="9.85546875" style="61" customWidth="1"/>
    <col min="15894" max="15894" width="9.28515625" style="61" bestFit="1" customWidth="1"/>
    <col min="15895" max="15895" width="3.85546875" style="61" customWidth="1"/>
    <col min="15896" max="15896" width="9.85546875" style="61" customWidth="1"/>
    <col min="15897" max="15897" width="7.28515625" style="61" customWidth="1"/>
    <col min="15898" max="15898" width="2.7109375" style="61" customWidth="1"/>
    <col min="15899" max="15899" width="10.28515625" style="61" customWidth="1"/>
    <col min="15900" max="15900" width="6.7109375" style="61" customWidth="1"/>
    <col min="15901" max="16133" width="9.140625" style="61"/>
    <col min="16134" max="16134" width="8.140625" style="61" customWidth="1"/>
    <col min="16135" max="16135" width="13.42578125" style="61" customWidth="1"/>
    <col min="16136" max="16136" width="9.7109375" style="61" customWidth="1"/>
    <col min="16137" max="16137" width="9.28515625" style="61" bestFit="1" customWidth="1"/>
    <col min="16138" max="16138" width="7.28515625" style="61" customWidth="1"/>
    <col min="16139" max="16139" width="9.42578125" style="61" customWidth="1"/>
    <col min="16140" max="16140" width="7.5703125" style="61" customWidth="1"/>
    <col min="16141" max="16141" width="10.5703125" style="61" customWidth="1"/>
    <col min="16142" max="16142" width="9.28515625" style="61" bestFit="1" customWidth="1"/>
    <col min="16143" max="16143" width="12.140625" style="61" customWidth="1"/>
    <col min="16144" max="16144" width="2.85546875" style="61" customWidth="1"/>
    <col min="16145" max="16145" width="10.140625" style="61" customWidth="1"/>
    <col min="16146" max="16146" width="9.28515625" style="61" bestFit="1" customWidth="1"/>
    <col min="16147" max="16147" width="9.140625" style="61"/>
    <col min="16148" max="16148" width="3" style="61" customWidth="1"/>
    <col min="16149" max="16149" width="9.85546875" style="61" customWidth="1"/>
    <col min="16150" max="16150" width="9.28515625" style="61" bestFit="1" customWidth="1"/>
    <col min="16151" max="16151" width="3.85546875" style="61" customWidth="1"/>
    <col min="16152" max="16152" width="9.85546875" style="61" customWidth="1"/>
    <col min="16153" max="16153" width="7.28515625" style="61" customWidth="1"/>
    <col min="16154" max="16154" width="2.7109375" style="61" customWidth="1"/>
    <col min="16155" max="16155" width="10.28515625" style="61" customWidth="1"/>
    <col min="16156" max="16156" width="6.7109375" style="61" customWidth="1"/>
    <col min="16157" max="16384" width="9.140625" style="61"/>
  </cols>
  <sheetData>
    <row r="2" spans="1:52" ht="12" thickBot="1" x14ac:dyDescent="0.25"/>
    <row r="3" spans="1:52" ht="13.5" thickBot="1" x14ac:dyDescent="0.25">
      <c r="B3" s="440" t="s">
        <v>122</v>
      </c>
      <c r="C3" s="441"/>
      <c r="D3" s="442"/>
      <c r="F3" s="62"/>
      <c r="G3" s="62"/>
      <c r="H3" s="779" t="s">
        <v>414</v>
      </c>
      <c r="I3" s="779"/>
      <c r="J3" s="779"/>
      <c r="L3" s="780" t="s">
        <v>114</v>
      </c>
      <c r="M3" s="780"/>
      <c r="Q3" s="780" t="s">
        <v>9</v>
      </c>
      <c r="R3" s="780"/>
      <c r="S3" s="780"/>
      <c r="U3" s="780"/>
      <c r="V3" s="780"/>
      <c r="W3" s="194"/>
      <c r="X3" s="194"/>
      <c r="Z3" s="194" t="s">
        <v>0</v>
      </c>
      <c r="AF3" s="63" t="s">
        <v>1</v>
      </c>
      <c r="AG3" s="63"/>
      <c r="AH3" s="63"/>
      <c r="AM3" s="63" t="s">
        <v>117</v>
      </c>
      <c r="AN3" s="63"/>
    </row>
    <row r="4" spans="1:52" ht="14.25" thickBot="1" x14ac:dyDescent="0.25">
      <c r="B4" s="710" t="s">
        <v>318</v>
      </c>
      <c r="C4" s="710"/>
      <c r="D4" s="710"/>
      <c r="E4" s="64"/>
      <c r="F4" s="62"/>
      <c r="G4" s="62"/>
      <c r="H4" s="65" t="s">
        <v>97</v>
      </c>
      <c r="I4" s="66">
        <f>Toleranser!D2</f>
        <v>0.05</v>
      </c>
      <c r="Q4" s="65" t="s">
        <v>97</v>
      </c>
      <c r="R4" s="66">
        <f>Toleranser!D9</f>
        <v>0.05</v>
      </c>
      <c r="S4" s="61" t="s">
        <v>115</v>
      </c>
      <c r="Z4" s="65" t="s">
        <v>97</v>
      </c>
      <c r="AA4" s="67">
        <f>Toleranser!D7</f>
        <v>2.5</v>
      </c>
      <c r="AF4" s="65" t="s">
        <v>97</v>
      </c>
      <c r="AG4" s="65"/>
      <c r="AH4" s="66">
        <f>Toleranser!D14</f>
        <v>0.05</v>
      </c>
      <c r="AI4" s="61" t="s">
        <v>115</v>
      </c>
      <c r="AM4" s="68" t="s">
        <v>119</v>
      </c>
      <c r="AV4" s="68" t="s">
        <v>120</v>
      </c>
    </row>
    <row r="5" spans="1:52" ht="13.5" thickTop="1" x14ac:dyDescent="0.2">
      <c r="B5" s="796" t="s">
        <v>81</v>
      </c>
      <c r="C5" s="796"/>
      <c r="D5" s="796"/>
      <c r="E5" s="796"/>
      <c r="F5" s="195"/>
      <c r="G5" s="195"/>
      <c r="Q5" s="65" t="s">
        <v>97</v>
      </c>
      <c r="R5" s="66">
        <f>Toleranser!D10</f>
        <v>0.1</v>
      </c>
      <c r="S5" s="61" t="s">
        <v>116</v>
      </c>
      <c r="AF5" s="65" t="s">
        <v>97</v>
      </c>
      <c r="AH5" s="66">
        <f>Toleranser!D15</f>
        <v>0.1</v>
      </c>
      <c r="AI5" s="61" t="s">
        <v>116</v>
      </c>
      <c r="AM5" s="780" t="s">
        <v>86</v>
      </c>
      <c r="AN5" s="793"/>
      <c r="AO5" s="793"/>
      <c r="AP5" s="780" t="s">
        <v>87</v>
      </c>
      <c r="AQ5" s="793"/>
      <c r="AR5" s="793"/>
      <c r="AV5" s="780" t="s">
        <v>86</v>
      </c>
      <c r="AW5" s="793"/>
      <c r="AX5" s="780" t="s">
        <v>87</v>
      </c>
      <c r="AY5" s="793"/>
      <c r="AZ5" s="69"/>
    </row>
    <row r="6" spans="1:52" x14ac:dyDescent="0.2">
      <c r="A6" s="69" t="s">
        <v>89</v>
      </c>
      <c r="B6" s="70" t="s">
        <v>55</v>
      </c>
      <c r="C6" s="70" t="s">
        <v>83</v>
      </c>
      <c r="D6" s="70" t="s">
        <v>90</v>
      </c>
      <c r="E6" s="70" t="s">
        <v>77</v>
      </c>
      <c r="F6" s="195" t="s">
        <v>53</v>
      </c>
      <c r="G6" s="195"/>
      <c r="H6" s="195" t="s">
        <v>91</v>
      </c>
      <c r="I6" s="195" t="s">
        <v>92</v>
      </c>
      <c r="J6" s="61" t="s">
        <v>93</v>
      </c>
      <c r="Q6" s="61" t="s">
        <v>94</v>
      </c>
      <c r="R6" s="195" t="s">
        <v>92</v>
      </c>
      <c r="S6" s="61" t="s">
        <v>93</v>
      </c>
      <c r="AF6" s="61" t="s">
        <v>95</v>
      </c>
      <c r="AM6" s="75" t="s">
        <v>2</v>
      </c>
      <c r="AN6" s="75" t="s">
        <v>118</v>
      </c>
      <c r="AO6" s="75" t="s">
        <v>95</v>
      </c>
      <c r="AP6" s="75" t="s">
        <v>2</v>
      </c>
      <c r="AQ6" s="75" t="s">
        <v>118</v>
      </c>
      <c r="AR6" s="75" t="s">
        <v>95</v>
      </c>
      <c r="AV6" s="75" t="s">
        <v>77</v>
      </c>
      <c r="AW6" s="75" t="s">
        <v>52</v>
      </c>
      <c r="AX6" s="75" t="s">
        <v>77</v>
      </c>
      <c r="AY6" s="75" t="s">
        <v>52</v>
      </c>
      <c r="AZ6" s="69"/>
    </row>
    <row r="7" spans="1:52" x14ac:dyDescent="0.2">
      <c r="A7" s="76" t="str">
        <f>IF(ISBLANK(RaysafeData!B7),"",(RaysafeData!B7))</f>
        <v/>
      </c>
      <c r="B7" s="76">
        <f>IF(ISBLANK(RaysafeData!C7),"",(RaysafeData!C7))</f>
        <v>50</v>
      </c>
      <c r="C7" s="76" t="str">
        <f>IF(ISBLANK(RaysafeData!D7),"",(RaysafeData!D7))</f>
        <v>FF</v>
      </c>
      <c r="D7" s="76">
        <f>IF(ISBLANK(RaysafeData!E7),"",(RaysafeData!E7))</f>
        <v>50</v>
      </c>
      <c r="E7" s="76">
        <f>IF(ISBLANK(RaysafeData!F7),"",(RaysafeData!F7))</f>
        <v>200</v>
      </c>
      <c r="F7" s="77">
        <f>IF(ISBLANK(RaysafeData!G7),"",(RaysafeData!G7))</f>
        <v>10</v>
      </c>
      <c r="G7" s="78"/>
      <c r="H7" s="77" t="str">
        <f>IF(ISBLANK(RaysafeData!I7),"",(RaysafeData!I7))</f>
        <v/>
      </c>
      <c r="I7" s="79" t="str">
        <f>IF(ISNUMBER(H7),(H7-RaysafeData!C7)/RaysafeData!C7,"")</f>
        <v/>
      </c>
      <c r="J7" s="392" t="str">
        <f>IF(H7="","",IF(ABS(I7)&gt;$I$4,"Fail","Pass"))</f>
        <v/>
      </c>
      <c r="K7" s="80"/>
      <c r="L7" s="71" t="s">
        <v>97</v>
      </c>
      <c r="M7" s="72">
        <f>Toleranser!D3</f>
        <v>0.05</v>
      </c>
      <c r="N7" s="259" t="s">
        <v>187</v>
      </c>
      <c r="O7" s="74"/>
      <c r="P7" s="80"/>
      <c r="Q7" s="77" t="str">
        <f>IF(ISBLANK(RaysafeData!O7),"",(RaysafeData!O7*1000))</f>
        <v/>
      </c>
      <c r="R7" s="79" t="str">
        <f>IF(ISNUMBER(Q7),(Q7-D7)/D7,"")</f>
        <v/>
      </c>
      <c r="S7" s="392" t="str">
        <f>IF(Q7="","",(IF(ABS(R7)&gt;$R$4,"Fail","Pass")))</f>
        <v/>
      </c>
      <c r="U7" s="262" t="s">
        <v>190</v>
      </c>
      <c r="V7" s="672"/>
      <c r="W7" s="259"/>
      <c r="X7" s="270"/>
      <c r="Z7" s="77" t="str">
        <f>IF(ISBLANK(RaysafeData!Y7),"",(RaysafeData!Y7))</f>
        <v/>
      </c>
      <c r="AA7" s="292"/>
      <c r="AB7" s="83"/>
      <c r="AC7" s="84" t="s">
        <v>96</v>
      </c>
      <c r="AD7" s="74" t="s">
        <v>86</v>
      </c>
      <c r="AF7" s="85" t="str">
        <f>IF(ISBLANK(RaysafeData!K7),"",1000*RaysafeData!K7/(RaysafeData!F7*RaysafeData!O7))</f>
        <v/>
      </c>
      <c r="AG7" s="86"/>
      <c r="AH7" s="286" t="s">
        <v>196</v>
      </c>
      <c r="AI7" s="113"/>
      <c r="AJ7" s="113"/>
      <c r="AK7" s="133"/>
      <c r="AM7" s="75">
        <f>IF(ISBLANK(RaysafeData!C7),"",(RaysafeData!C7))</f>
        <v>50</v>
      </c>
      <c r="AN7" s="75">
        <f>AM7*AM7</f>
        <v>2500</v>
      </c>
      <c r="AO7" s="77" t="str">
        <f>IF(ISBLANK(RaysafeData!K7),"",1000*RaysafeData!K7/(RaysafeData!F7*RaysafeData!O7))</f>
        <v/>
      </c>
      <c r="AP7" s="75">
        <f>IF(ISBLANK(RaysafeData!C25),"",(RaysafeData!C25))</f>
        <v>50</v>
      </c>
      <c r="AQ7" s="75">
        <f>AP7*AP7</f>
        <v>2500</v>
      </c>
      <c r="AR7" s="77" t="str">
        <f>IF(ISBLANK(RaysafeData!K25),"",1000*RaysafeData!K25/(RaysafeData!F25*RaysafeData!O25))</f>
        <v/>
      </c>
      <c r="AV7" s="75">
        <f>IF(ISBLANK(RaysafeData!F11),"",(RaysafeData!F11))</f>
        <v>200</v>
      </c>
      <c r="AW7" s="75" t="str">
        <f>IF(ISBLANK(RaysafeData!K11),"",1000*RaysafeData!K11)</f>
        <v/>
      </c>
      <c r="AX7" s="75">
        <f>IF(ISBLANK(RaysafeData!F29),"",(RaysafeData!F29))</f>
        <v>200</v>
      </c>
      <c r="AY7" s="75" t="str">
        <f>IF(ISBLANK(RaysafeData!K29),"",1000*RaysafeData!K29)</f>
        <v/>
      </c>
      <c r="AZ7" s="69"/>
    </row>
    <row r="8" spans="1:52" x14ac:dyDescent="0.2">
      <c r="A8" s="76" t="str">
        <f>IF(ISBLANK(RaysafeData!B8),"",(RaysafeData!B8))</f>
        <v/>
      </c>
      <c r="B8" s="76">
        <f>IF(ISBLANK(RaysafeData!C8),"",(RaysafeData!C8))</f>
        <v>60</v>
      </c>
      <c r="C8" s="76" t="str">
        <f>IF(ISBLANK(RaysafeData!D8),"",(RaysafeData!D8))</f>
        <v>FF</v>
      </c>
      <c r="D8" s="76">
        <f>IF(ISBLANK(RaysafeData!E8),"",(RaysafeData!E8))</f>
        <v>50</v>
      </c>
      <c r="E8" s="76">
        <f>IF(ISBLANK(RaysafeData!F8),"",(RaysafeData!F8))</f>
        <v>200</v>
      </c>
      <c r="F8" s="77">
        <f>IF(ISBLANK(RaysafeData!G8),"",(RaysafeData!G8))</f>
        <v>10</v>
      </c>
      <c r="G8" s="78"/>
      <c r="H8" s="77" t="str">
        <f>IF(ISBLANK(RaysafeData!I8),"",(RaysafeData!I8))</f>
        <v/>
      </c>
      <c r="I8" s="79" t="str">
        <f>IF(ISNUMBER(H8),(H8-RaysafeData!C8)/RaysafeData!C8,"")</f>
        <v/>
      </c>
      <c r="J8" s="392" t="str">
        <f t="shared" ref="J8:J43" si="0">IF(H8="","",IF(ABS(I8)&gt;$I$4,"Fail","Pass"))</f>
        <v/>
      </c>
      <c r="K8" s="80"/>
      <c r="L8" s="90"/>
      <c r="M8" s="247" t="s">
        <v>86</v>
      </c>
      <c r="N8" s="64"/>
      <c r="O8" s="88" t="s">
        <v>87</v>
      </c>
      <c r="P8" s="80"/>
      <c r="Q8" s="77" t="str">
        <f>IF(ISBLANK(RaysafeData!O8),"",(RaysafeData!O8*1000))</f>
        <v/>
      </c>
      <c r="R8" s="79" t="str">
        <f t="shared" ref="R8:R43" si="1">IF(ISNUMBER(Q8),(Q8-D8)/D8,"")</f>
        <v/>
      </c>
      <c r="S8" s="392" t="str">
        <f t="shared" ref="S8:S17" si="2">IF(Q8="","",(IF(ABS(R8)&gt;$R$4,"Fail","Pass")))</f>
        <v/>
      </c>
      <c r="U8" s="90" t="str">
        <f>Q4</f>
        <v>Tol</v>
      </c>
      <c r="V8" s="673">
        <f>R4</f>
        <v>0.05</v>
      </c>
      <c r="W8" s="64"/>
      <c r="X8" s="82"/>
      <c r="Z8" s="77" t="str">
        <f>IF(ISBLANK(RaysafeData!Y8),"",(RaysafeData!Y8))</f>
        <v/>
      </c>
      <c r="AA8" s="292"/>
      <c r="AC8" s="81" t="s">
        <v>88</v>
      </c>
      <c r="AD8" s="87">
        <f>AA4</f>
        <v>2.5</v>
      </c>
      <c r="AF8" s="85" t="str">
        <f>IF(ISBLANK(RaysafeData!K8),"",1000*RaysafeData!K8/(RaysafeData!F8*RaysafeData!O8))</f>
        <v/>
      </c>
      <c r="AG8" s="86"/>
      <c r="AH8" s="90"/>
      <c r="AI8" s="75" t="s">
        <v>86</v>
      </c>
      <c r="AJ8" s="75" t="s">
        <v>87</v>
      </c>
      <c r="AK8" s="88"/>
      <c r="AM8" s="75">
        <f>IF(ISBLANK(RaysafeData!C8),"",(RaysafeData!C8))</f>
        <v>60</v>
      </c>
      <c r="AN8" s="75">
        <f t="shared" ref="AN8:AN13" si="3">AM8*AM8</f>
        <v>3600</v>
      </c>
      <c r="AO8" s="77" t="str">
        <f>IF(ISBLANK(RaysafeData!K8),"",1000*RaysafeData!K8/(RaysafeData!F8*RaysafeData!O8))</f>
        <v/>
      </c>
      <c r="AP8" s="75">
        <f>IF(ISBLANK(RaysafeData!C26),"",(RaysafeData!C26))</f>
        <v>60</v>
      </c>
      <c r="AQ8" s="75">
        <f t="shared" ref="AQ8:AQ13" si="4">AP8*AP8</f>
        <v>3600</v>
      </c>
      <c r="AR8" s="77" t="str">
        <f>IF(ISBLANK(RaysafeData!K26),"",1000*RaysafeData!K26/(RaysafeData!F26*RaysafeData!O26))</f>
        <v/>
      </c>
      <c r="AV8" s="75">
        <f>IF(ISBLANK(RaysafeData!F22),"",(RaysafeData!F22))</f>
        <v>50</v>
      </c>
      <c r="AW8" s="75" t="str">
        <f>IF(ISBLANK(RaysafeData!K22),"",1000*RaysafeData!K22)</f>
        <v/>
      </c>
      <c r="AX8" s="75">
        <f>IF(ISBLANK(RaysafeData!F40),"",(RaysafeData!F40))</f>
        <v>50</v>
      </c>
      <c r="AY8" s="75" t="str">
        <f>IF(ISBLANK(RaysafeData!K40),"",1000*RaysafeData!K40)</f>
        <v/>
      </c>
      <c r="AZ8" s="69"/>
    </row>
    <row r="9" spans="1:52" x14ac:dyDescent="0.2">
      <c r="A9" s="76" t="str">
        <f>IF(ISBLANK(RaysafeData!B9),"",(RaysafeData!B9))</f>
        <v/>
      </c>
      <c r="B9" s="76">
        <f>IF(ISBLANK(RaysafeData!C9),"",(RaysafeData!C9))</f>
        <v>70</v>
      </c>
      <c r="C9" s="76" t="str">
        <f>IF(ISBLANK(RaysafeData!D9),"",(RaysafeData!D9))</f>
        <v>FF</v>
      </c>
      <c r="D9" s="76">
        <f>IF(ISBLANK(RaysafeData!E9),"",(RaysafeData!E9))</f>
        <v>50</v>
      </c>
      <c r="E9" s="76">
        <f>IF(ISBLANK(RaysafeData!F9),"",(RaysafeData!F9))</f>
        <v>200</v>
      </c>
      <c r="F9" s="77">
        <f>IF(ISBLANK(RaysafeData!G9),"",(RaysafeData!G9))</f>
        <v>10</v>
      </c>
      <c r="G9" s="78"/>
      <c r="H9" s="77" t="str">
        <f>IF(ISBLANK(RaysafeData!I9),"",(RaysafeData!I9))</f>
        <v/>
      </c>
      <c r="I9" s="79" t="str">
        <f>IF(ISNUMBER(H9),(H9-RaysafeData!C9)/RaysafeData!C9,"")</f>
        <v/>
      </c>
      <c r="J9" s="392" t="str">
        <f t="shared" si="0"/>
        <v/>
      </c>
      <c r="K9" s="80"/>
      <c r="L9" s="90"/>
      <c r="M9" s="77" t="str">
        <f>IF(ISBLANK(H11),"",H11)</f>
        <v/>
      </c>
      <c r="N9" s="64"/>
      <c r="O9" s="77" t="str">
        <f>IF(ISBLANK(H29),"",H29)</f>
        <v/>
      </c>
      <c r="P9" s="80"/>
      <c r="Q9" s="77" t="str">
        <f>IF(ISBLANK(RaysafeData!O9),"",(RaysafeData!O9*1000))</f>
        <v/>
      </c>
      <c r="R9" s="79" t="str">
        <f t="shared" si="1"/>
        <v/>
      </c>
      <c r="S9" s="392" t="str">
        <f t="shared" si="2"/>
        <v/>
      </c>
      <c r="U9" s="90"/>
      <c r="V9" s="674"/>
      <c r="W9" s="261" t="s">
        <v>86</v>
      </c>
      <c r="X9" s="88" t="s">
        <v>87</v>
      </c>
      <c r="Z9" s="300" t="str">
        <f>IF(ISBLANK(RaysafeData!Y9),"",(RaysafeData!Y9))</f>
        <v/>
      </c>
      <c r="AA9" s="299"/>
      <c r="AC9" s="85" t="str">
        <f>IF(RaysafeData!Y9="","",RaysafeData!Y9)</f>
        <v/>
      </c>
      <c r="AD9" s="88"/>
      <c r="AF9" s="85" t="str">
        <f>IF(ISBLANK(RaysafeData!K9),"",1000*RaysafeData!K9/(RaysafeData!F9*RaysafeData!O9))</f>
        <v/>
      </c>
      <c r="AG9" s="86"/>
      <c r="AH9" s="90"/>
      <c r="AI9" s="85" t="str">
        <f>IF(ISBLANK(AF11),"",AF11)</f>
        <v/>
      </c>
      <c r="AJ9" s="85" t="str">
        <f>IF(ISBLANK(AF29),"",AF29)</f>
        <v/>
      </c>
      <c r="AK9" s="87"/>
      <c r="AM9" s="75">
        <f>IF(ISBLANK(RaysafeData!C9),"",(RaysafeData!C9))</f>
        <v>70</v>
      </c>
      <c r="AN9" s="75">
        <f t="shared" si="3"/>
        <v>4900</v>
      </c>
      <c r="AO9" s="77" t="str">
        <f>IF(ISBLANK(RaysafeData!K9),"",1000*RaysafeData!K9/(RaysafeData!F9*RaysafeData!O9))</f>
        <v/>
      </c>
      <c r="AP9" s="75">
        <f>IF(ISBLANK(RaysafeData!C27),"",(RaysafeData!C27))</f>
        <v>70</v>
      </c>
      <c r="AQ9" s="75">
        <f t="shared" si="4"/>
        <v>4900</v>
      </c>
      <c r="AR9" s="77" t="str">
        <f>IF(ISBLANK(RaysafeData!K27),"",1000*RaysafeData!K27/(RaysafeData!F27*RaysafeData!O27))</f>
        <v/>
      </c>
      <c r="AV9" s="75">
        <f>IF(ISBLANK(RaysafeData!F23),"",(RaysafeData!F23))</f>
        <v>100</v>
      </c>
      <c r="AW9" s="75" t="str">
        <f>IF(ISBLANK(RaysafeData!K23),"",1000*RaysafeData!K23)</f>
        <v/>
      </c>
      <c r="AX9" s="75">
        <f>IF(ISBLANK(RaysafeData!F41),"",(RaysafeData!F41))</f>
        <v>100</v>
      </c>
      <c r="AY9" s="75" t="str">
        <f>IF(ISBLANK(RaysafeData!K41),"",1000*RaysafeData!K41)</f>
        <v/>
      </c>
      <c r="AZ9" s="69"/>
    </row>
    <row r="10" spans="1:52" x14ac:dyDescent="0.2">
      <c r="A10" s="76" t="str">
        <f>IF(ISBLANK(RaysafeData!B10),"",(RaysafeData!B10))</f>
        <v/>
      </c>
      <c r="B10" s="76">
        <f>IF(ISBLANK(RaysafeData!C10),"",(RaysafeData!C10))</f>
        <v>70</v>
      </c>
      <c r="C10" s="76" t="str">
        <f>IF(ISBLANK(RaysafeData!D10),"",(RaysafeData!D10))</f>
        <v>FF</v>
      </c>
      <c r="D10" s="76">
        <f>IF(ISBLANK(RaysafeData!E10),"",(RaysafeData!E10))</f>
        <v>50</v>
      </c>
      <c r="E10" s="76">
        <f>IF(ISBLANK(RaysafeData!F10),"",(RaysafeData!F10))</f>
        <v>200</v>
      </c>
      <c r="F10" s="77">
        <f>IF(ISBLANK(RaysafeData!G10),"",(RaysafeData!G10))</f>
        <v>10</v>
      </c>
      <c r="G10" s="78"/>
      <c r="H10" s="77" t="str">
        <f>IF(ISBLANK(RaysafeData!I10),"",(RaysafeData!I10))</f>
        <v/>
      </c>
      <c r="I10" s="79" t="str">
        <f>IF(ISNUMBER(H10),(H10-RaysafeData!C10)/RaysafeData!C10,"")</f>
        <v/>
      </c>
      <c r="J10" s="392" t="str">
        <f t="shared" si="0"/>
        <v/>
      </c>
      <c r="K10" s="80"/>
      <c r="L10" s="90"/>
      <c r="M10" s="77" t="str">
        <f t="shared" ref="M10:M12" si="5">IF(ISBLANK(H12),"",H12)</f>
        <v/>
      </c>
      <c r="N10" s="64"/>
      <c r="O10" s="77" t="str">
        <f t="shared" ref="O10:O12" si="6">IF(ISBLANK(H30),"",H30)</f>
        <v/>
      </c>
      <c r="P10" s="80"/>
      <c r="Q10" s="77" t="str">
        <f>IF(ISBLANK(RaysafeData!O10),"",(RaysafeData!O10*1000))</f>
        <v/>
      </c>
      <c r="R10" s="79" t="str">
        <f t="shared" si="1"/>
        <v/>
      </c>
      <c r="S10" s="392" t="str">
        <f t="shared" si="2"/>
        <v/>
      </c>
      <c r="U10" s="96" t="s">
        <v>191</v>
      </c>
      <c r="V10" s="675"/>
      <c r="W10" s="296" t="str">
        <f>IF((COUNTIF(S7:S17,""))&gt;0,"",(IF(COUNTIF(S7:S17,"Fail")&gt;0,"Fail","Pass")))</f>
        <v/>
      </c>
      <c r="X10" s="296" t="str">
        <f>IF((COUNTIF(S25:S35,""))&gt;0,"",(IF(COUNTIF(S25:S35,"Fail")&gt;0,"Fail","Pass")))</f>
        <v/>
      </c>
      <c r="Z10" s="300" t="str">
        <f>IF(ISBLANK(RaysafeData!Y10),"",(RaysafeData!Y10))</f>
        <v/>
      </c>
      <c r="AA10" s="299"/>
      <c r="AC10" s="85" t="str">
        <f>IF(RaysafeData!Y10="","",RaysafeData!Y10)</f>
        <v/>
      </c>
      <c r="AD10" s="88"/>
      <c r="AF10" s="85" t="str">
        <f>IF(ISBLANK(RaysafeData!K10),"",1000*RaysafeData!K10/(RaysafeData!F10*RaysafeData!O10))</f>
        <v/>
      </c>
      <c r="AG10" s="86"/>
      <c r="AH10" s="90"/>
      <c r="AI10" s="85" t="str">
        <f t="shared" ref="AI10:AI12" si="7">IF(ISBLANK(AF12),"",AF12)</f>
        <v/>
      </c>
      <c r="AJ10" s="85" t="str">
        <f t="shared" ref="AJ10:AJ12" si="8">IF(ISBLANK(AF30),"",AF30)</f>
        <v/>
      </c>
      <c r="AK10" s="87"/>
      <c r="AM10" s="75">
        <f>IF(ISBLANK(RaysafeData!C11),"",(RaysafeData!C11))</f>
        <v>81</v>
      </c>
      <c r="AN10" s="75">
        <f t="shared" si="3"/>
        <v>6561</v>
      </c>
      <c r="AO10" s="77" t="str">
        <f>IF(ISBLANK(RaysafeData!K11),"",1000*RaysafeData!K11/(RaysafeData!F11*RaysafeData!O11))</f>
        <v/>
      </c>
      <c r="AP10" s="75">
        <f>IF(ISBLANK(RaysafeData!C29),"",(RaysafeData!C29))</f>
        <v>81</v>
      </c>
      <c r="AQ10" s="75">
        <f t="shared" si="4"/>
        <v>6561</v>
      </c>
      <c r="AR10" s="77" t="str">
        <f>IF(ISBLANK(RaysafeData!K29),"",1000*RaysafeData!K29/(RaysafeData!F29*RaysafeData!O29))</f>
        <v/>
      </c>
      <c r="AV10" s="75">
        <f>IF(ISBLANK(RaysafeData!F24),"",(RaysafeData!F24))</f>
        <v>250</v>
      </c>
      <c r="AW10" s="75" t="str">
        <f>IF(ISBLANK(RaysafeData!K24),"",1000*RaysafeData!K24)</f>
        <v/>
      </c>
      <c r="AX10" s="75">
        <f>IF(ISBLANK(RaysafeData!F42),"",(RaysafeData!F42))</f>
        <v>250</v>
      </c>
      <c r="AY10" s="75" t="str">
        <f>IF(ISBLANK(RaysafeData!K42),"",1000*RaysafeData!K42)</f>
        <v/>
      </c>
      <c r="AZ10" s="69"/>
    </row>
    <row r="11" spans="1:52" x14ac:dyDescent="0.2">
      <c r="A11" s="76" t="str">
        <f>IF(ISBLANK(RaysafeData!B11),"",(RaysafeData!B11))</f>
        <v/>
      </c>
      <c r="B11" s="76">
        <f>IF(ISBLANK(RaysafeData!C11),"",(RaysafeData!C11))</f>
        <v>81</v>
      </c>
      <c r="C11" s="76" t="str">
        <f>IF(ISBLANK(RaysafeData!D11),"",(RaysafeData!D11))</f>
        <v>FF</v>
      </c>
      <c r="D11" s="76">
        <f>IF(ISBLANK(RaysafeData!E11),"",(RaysafeData!E11))</f>
        <v>50</v>
      </c>
      <c r="E11" s="76">
        <f>IF(ISBLANK(RaysafeData!F11),"",(RaysafeData!F11))</f>
        <v>200</v>
      </c>
      <c r="F11" s="77">
        <f>IF(ISBLANK(RaysafeData!G11),"",(RaysafeData!G11))</f>
        <v>10</v>
      </c>
      <c r="G11" s="78"/>
      <c r="H11" s="77" t="str">
        <f>IF(ISBLANK(RaysafeData!I11),"",(RaysafeData!I11))</f>
        <v/>
      </c>
      <c r="I11" s="79" t="str">
        <f>IF(ISNUMBER(H11),(H11-RaysafeData!C11)/RaysafeData!C11,"")</f>
        <v/>
      </c>
      <c r="J11" s="392" t="str">
        <f t="shared" si="0"/>
        <v/>
      </c>
      <c r="K11" s="80"/>
      <c r="L11" s="90"/>
      <c r="M11" s="77" t="str">
        <f t="shared" si="5"/>
        <v/>
      </c>
      <c r="N11" s="64"/>
      <c r="O11" s="77" t="str">
        <f t="shared" si="6"/>
        <v/>
      </c>
      <c r="P11" s="80"/>
      <c r="Q11" s="77" t="str">
        <f>IF(ISBLANK(RaysafeData!O11),"",(RaysafeData!O11*1000))</f>
        <v/>
      </c>
      <c r="R11" s="79" t="str">
        <f t="shared" si="1"/>
        <v/>
      </c>
      <c r="S11" s="392" t="str">
        <f t="shared" si="2"/>
        <v/>
      </c>
      <c r="U11" s="262" t="s">
        <v>248</v>
      </c>
      <c r="V11" s="672"/>
      <c r="W11" s="259"/>
      <c r="X11" s="270"/>
      <c r="Z11" s="77" t="str">
        <f>IF(ISBLANK(RaysafeData!Y11),"",(RaysafeData!Y11))</f>
        <v/>
      </c>
      <c r="AA11" s="292"/>
      <c r="AC11" s="81" t="s">
        <v>181</v>
      </c>
      <c r="AD11" s="297" t="str">
        <f>IF((COUNTIF(AC9:AC10,""))&gt;0,"",AVERAGEA(AC9:AC10))</f>
        <v/>
      </c>
      <c r="AF11" s="85" t="str">
        <f>IF(ISBLANK(RaysafeData!K11),"",1000*RaysafeData!K11/(RaysafeData!F11*RaysafeData!O11))</f>
        <v/>
      </c>
      <c r="AG11" s="86"/>
      <c r="AH11" s="90"/>
      <c r="AI11" s="85" t="str">
        <f t="shared" si="7"/>
        <v/>
      </c>
      <c r="AJ11" s="85" t="str">
        <f t="shared" si="8"/>
        <v/>
      </c>
      <c r="AK11" s="87"/>
      <c r="AM11" s="75">
        <f>IF(ISBLANK(RaysafeData!C15),"",(RaysafeData!C15))</f>
        <v>90</v>
      </c>
      <c r="AN11" s="75">
        <f t="shared" si="3"/>
        <v>8100</v>
      </c>
      <c r="AO11" s="77" t="str">
        <f>IF(ISBLANK(RaysafeData!K15),"",1000*RaysafeData!K15/(RaysafeData!F15*RaysafeData!O15))</f>
        <v/>
      </c>
      <c r="AP11" s="75">
        <f>IF(ISBLANK(RaysafeData!C33),"",(RaysafeData!C33))</f>
        <v>90</v>
      </c>
      <c r="AQ11" s="75">
        <f t="shared" si="4"/>
        <v>8100</v>
      </c>
      <c r="AR11" s="77" t="str">
        <f>IF(ISBLANK(RaysafeData!K33),"",1000*RaysafeData!K33/(RaysafeData!F33*RaysafeData!O33))</f>
        <v/>
      </c>
      <c r="AV11" s="75"/>
      <c r="AW11" s="75"/>
      <c r="AX11" s="75">
        <f>IF(ISBLANK(RaysafeData!F43),"",(RaysafeData!F43))</f>
        <v>400</v>
      </c>
      <c r="AY11" s="75" t="str">
        <f>IF(ISBLANK(RaysafeData!K43),"",1000*RaysafeData!K43)</f>
        <v/>
      </c>
      <c r="AZ11" s="69"/>
    </row>
    <row r="12" spans="1:52" x14ac:dyDescent="0.2">
      <c r="A12" s="76" t="str">
        <f>IF(ISBLANK(RaysafeData!B12),"",(RaysafeData!B12))</f>
        <v/>
      </c>
      <c r="B12" s="76">
        <f>IF(ISBLANK(RaysafeData!C12),"",(RaysafeData!C12))</f>
        <v>81</v>
      </c>
      <c r="C12" s="76" t="str">
        <f>IF(ISBLANK(RaysafeData!D12),"",(RaysafeData!D12))</f>
        <v>FF</v>
      </c>
      <c r="D12" s="76">
        <f>IF(ISBLANK(RaysafeData!E12),"",(RaysafeData!E12))</f>
        <v>50</v>
      </c>
      <c r="E12" s="76">
        <f>IF(ISBLANK(RaysafeData!F12),"",(RaysafeData!F12))</f>
        <v>200</v>
      </c>
      <c r="F12" s="77">
        <f>IF(ISBLANK(RaysafeData!G12),"",(RaysafeData!G12))</f>
        <v>10</v>
      </c>
      <c r="G12" s="78"/>
      <c r="H12" s="77" t="str">
        <f>IF(ISBLANK(RaysafeData!I12),"",(RaysafeData!I12))</f>
        <v/>
      </c>
      <c r="I12" s="79" t="str">
        <f>IF(ISNUMBER(H12),(H12-RaysafeData!C12)/RaysafeData!C12,"")</f>
        <v/>
      </c>
      <c r="J12" s="392" t="str">
        <f t="shared" si="0"/>
        <v/>
      </c>
      <c r="K12" s="80"/>
      <c r="L12" s="90"/>
      <c r="M12" s="77" t="str">
        <f t="shared" si="5"/>
        <v/>
      </c>
      <c r="N12" s="64"/>
      <c r="O12" s="77" t="str">
        <f t="shared" si="6"/>
        <v/>
      </c>
      <c r="P12" s="80"/>
      <c r="Q12" s="77" t="str">
        <f>IF(ISBLANK(RaysafeData!O12),"",(RaysafeData!O12*1000))</f>
        <v/>
      </c>
      <c r="R12" s="79" t="str">
        <f t="shared" si="1"/>
        <v/>
      </c>
      <c r="S12" s="392" t="str">
        <f t="shared" si="2"/>
        <v/>
      </c>
      <c r="U12" s="90" t="str">
        <f>Q5</f>
        <v>Tol</v>
      </c>
      <c r="V12" s="673">
        <f>R5</f>
        <v>0.1</v>
      </c>
      <c r="W12" s="64"/>
      <c r="X12" s="82"/>
      <c r="Z12" s="77" t="str">
        <f>IF(ISBLANK(RaysafeData!Y12),"",(RaysafeData!Y12))</f>
        <v/>
      </c>
      <c r="AA12" s="292"/>
      <c r="AC12" s="81"/>
      <c r="AD12" s="296" t="str">
        <f>IF(AD11="","",(IF(AD11&lt;AD8,"Fail","Pass")))</f>
        <v/>
      </c>
      <c r="AF12" s="85" t="str">
        <f>IF(ISBLANK(RaysafeData!K12),"",1000*RaysafeData!K12/(RaysafeData!F12*RaysafeData!O12))</f>
        <v/>
      </c>
      <c r="AG12" s="86"/>
      <c r="AH12" s="90"/>
      <c r="AI12" s="85" t="str">
        <f t="shared" si="7"/>
        <v/>
      </c>
      <c r="AJ12" s="85" t="str">
        <f t="shared" si="8"/>
        <v/>
      </c>
      <c r="AK12" s="87"/>
      <c r="AM12" s="75">
        <f>IF(ISBLANK(RaysafeData!C16),"",(RaysafeData!C16))</f>
        <v>109</v>
      </c>
      <c r="AN12" s="75">
        <f t="shared" si="3"/>
        <v>11881</v>
      </c>
      <c r="AO12" s="77" t="str">
        <f>IF(ISBLANK(RaysafeData!K16),"",1000*RaysafeData!K16/(RaysafeData!F16*RaysafeData!O16))</f>
        <v/>
      </c>
      <c r="AP12" s="75">
        <f>IF(ISBLANK(RaysafeData!C34),"",(RaysafeData!C34))</f>
        <v>109</v>
      </c>
      <c r="AQ12" s="75">
        <f t="shared" si="4"/>
        <v>11881</v>
      </c>
      <c r="AR12" s="77" t="str">
        <f>IF(ISBLANK(RaysafeData!K34),"",1000*RaysafeData!K34/(RaysafeData!F34*RaysafeData!O34))</f>
        <v/>
      </c>
      <c r="AV12" s="195"/>
      <c r="AW12" s="195"/>
      <c r="AX12" s="195"/>
      <c r="AY12" s="195"/>
      <c r="AZ12" s="69"/>
    </row>
    <row r="13" spans="1:52" x14ac:dyDescent="0.2">
      <c r="A13" s="76" t="str">
        <f>IF(ISBLANK(RaysafeData!B13),"",(RaysafeData!B13))</f>
        <v/>
      </c>
      <c r="B13" s="76">
        <f>IF(ISBLANK(RaysafeData!C13),"",(RaysafeData!C13))</f>
        <v>81</v>
      </c>
      <c r="C13" s="76" t="str">
        <f>IF(ISBLANK(RaysafeData!D13),"",(RaysafeData!D13))</f>
        <v>FF</v>
      </c>
      <c r="D13" s="76">
        <f>IF(ISBLANK(RaysafeData!E13),"",(RaysafeData!E13))</f>
        <v>50</v>
      </c>
      <c r="E13" s="76">
        <f>IF(ISBLANK(RaysafeData!F13),"",(RaysafeData!F13))</f>
        <v>200</v>
      </c>
      <c r="F13" s="77">
        <f>IF(ISBLANK(RaysafeData!G13),"",(RaysafeData!G13))</f>
        <v>10</v>
      </c>
      <c r="G13" s="78"/>
      <c r="H13" s="77" t="str">
        <f>IF(ISBLANK(RaysafeData!I13),"",(RaysafeData!I13))</f>
        <v/>
      </c>
      <c r="I13" s="79" t="str">
        <f>IF(ISNUMBER(H13),(H13-RaysafeData!C13)/RaysafeData!C13,"")</f>
        <v/>
      </c>
      <c r="J13" s="392" t="str">
        <f t="shared" si="0"/>
        <v/>
      </c>
      <c r="K13" s="80"/>
      <c r="L13" s="238" t="s">
        <v>178</v>
      </c>
      <c r="M13" s="91" t="str">
        <f>IF((COUNTIF(M9:M12,""))&gt;0,"",AVERAGEA(M9:M12))</f>
        <v/>
      </c>
      <c r="N13" s="62" t="s">
        <v>178</v>
      </c>
      <c r="O13" s="92" t="str">
        <f>IF((COUNTIF(O9:O12,""))&gt;0,"",AVERAGEA(O9:O12))</f>
        <v/>
      </c>
      <c r="P13" s="80"/>
      <c r="Q13" s="77" t="str">
        <f>IF(ISBLANK(RaysafeData!O13),"",(RaysafeData!O13*1000))</f>
        <v/>
      </c>
      <c r="R13" s="79" t="str">
        <f t="shared" si="1"/>
        <v/>
      </c>
      <c r="S13" s="392" t="str">
        <f t="shared" si="2"/>
        <v/>
      </c>
      <c r="U13" s="90"/>
      <c r="V13" s="64"/>
      <c r="W13" s="261" t="s">
        <v>86</v>
      </c>
      <c r="X13" s="88" t="s">
        <v>87</v>
      </c>
      <c r="Z13" s="77" t="str">
        <f>IF(ISBLANK(RaysafeData!Y13),"",(RaysafeData!Y13))</f>
        <v/>
      </c>
      <c r="AA13" s="292"/>
      <c r="AC13" s="90"/>
      <c r="AD13" s="82"/>
      <c r="AF13" s="85" t="str">
        <f>IF(ISBLANK(RaysafeData!K13),"",1000*RaysafeData!K13/(RaysafeData!F13*RaysafeData!O13))</f>
        <v/>
      </c>
      <c r="AG13" s="86"/>
      <c r="AH13" s="287" t="s">
        <v>198</v>
      </c>
      <c r="AI13" s="77" t="str">
        <f>IF((COUNTIF(AI9:AI12,""))&gt;0,"",AVERAGEA(AI9:AI12))</f>
        <v/>
      </c>
      <c r="AJ13" s="77" t="str">
        <f>IF((COUNTIF(AJ9:AJ12,""))&gt;0,"",AVERAGEA(AJ9:AJ12))</f>
        <v/>
      </c>
      <c r="AK13" s="89"/>
      <c r="AM13" s="75">
        <f>IF(ISBLANK(RaysafeData!C17),"",(RaysafeData!C17))</f>
        <v>125</v>
      </c>
      <c r="AN13" s="75">
        <f t="shared" si="3"/>
        <v>15625</v>
      </c>
      <c r="AO13" s="77" t="str">
        <f>IF(ISBLANK(RaysafeData!K17),"",1000*RaysafeData!K17/(RaysafeData!F17*RaysafeData!O17))</f>
        <v/>
      </c>
      <c r="AP13" s="75">
        <f>IF(ISBLANK(RaysafeData!C35),"",(RaysafeData!C35))</f>
        <v>125</v>
      </c>
      <c r="AQ13" s="75">
        <f t="shared" si="4"/>
        <v>15625</v>
      </c>
      <c r="AR13" s="77" t="str">
        <f>IF(ISBLANK(RaysafeData!K35),"",1000*RaysafeData!K35/(RaysafeData!F35*RaysafeData!O35))</f>
        <v/>
      </c>
      <c r="AV13" s="195"/>
      <c r="AW13" s="195"/>
      <c r="AX13" s="195"/>
      <c r="AY13" s="195"/>
    </row>
    <row r="14" spans="1:52" x14ac:dyDescent="0.2">
      <c r="A14" s="76" t="str">
        <f>IF(ISBLANK(RaysafeData!B14),"",(RaysafeData!B14))</f>
        <v/>
      </c>
      <c r="B14" s="76">
        <f>IF(ISBLANK(RaysafeData!C14),"",(RaysafeData!C14))</f>
        <v>81</v>
      </c>
      <c r="C14" s="76" t="str">
        <f>IF(ISBLANK(RaysafeData!D14),"",(RaysafeData!D14))</f>
        <v>FF</v>
      </c>
      <c r="D14" s="76">
        <f>IF(ISBLANK(RaysafeData!E14),"",(RaysafeData!E14))</f>
        <v>50</v>
      </c>
      <c r="E14" s="76">
        <f>IF(ISBLANK(RaysafeData!F14),"",(RaysafeData!F14))</f>
        <v>200</v>
      </c>
      <c r="F14" s="77">
        <f>IF(ISBLANK(RaysafeData!G14),"",(RaysafeData!G14))</f>
        <v>10</v>
      </c>
      <c r="G14" s="78"/>
      <c r="H14" s="77" t="str">
        <f>IF(ISBLANK(RaysafeData!I14),"",(RaysafeData!I14))</f>
        <v/>
      </c>
      <c r="I14" s="79" t="str">
        <f>IF(ISNUMBER(H14),(H14-RaysafeData!C14)/RaysafeData!C14,"")</f>
        <v/>
      </c>
      <c r="J14" s="392" t="str">
        <f t="shared" si="0"/>
        <v/>
      </c>
      <c r="K14" s="80"/>
      <c r="L14" s="238" t="s">
        <v>179</v>
      </c>
      <c r="M14" s="86" t="str">
        <f>IF((COUNTIF(M9:M12,""))&gt;0,"",STDEVA(M9:M12))</f>
        <v/>
      </c>
      <c r="N14" s="62" t="s">
        <v>179</v>
      </c>
      <c r="O14" s="86" t="str">
        <f>IF((COUNTIF(O9:O12,""))&gt;0,"",STDEVA(O9:O12))</f>
        <v/>
      </c>
      <c r="P14" s="80"/>
      <c r="Q14" s="77" t="str">
        <f>IF(ISBLANK(RaysafeData!O14),"",(RaysafeData!O14*1000))</f>
        <v/>
      </c>
      <c r="R14" s="79" t="str">
        <f t="shared" si="1"/>
        <v/>
      </c>
      <c r="S14" s="392" t="str">
        <f t="shared" si="2"/>
        <v/>
      </c>
      <c r="U14" s="96" t="s">
        <v>191</v>
      </c>
      <c r="V14" s="97"/>
      <c r="W14" s="296" t="str">
        <f>IF((COUNTIF(S22:S24,""))&gt;0,"",(IF(COUNTIF(S22:S24,"Fail")&gt;0,"Fail","Pass")))</f>
        <v/>
      </c>
      <c r="X14" s="296" t="str">
        <f>IF((COUNTIF(S40:S43,""))&gt;0,"",(IF(COUNTIF(S40:S43,"Fail")&gt;0,"Fail","Pass")))</f>
        <v/>
      </c>
      <c r="Z14" s="77" t="str">
        <f>IF(ISBLANK(RaysafeData!Y14),"",(RaysafeData!Y14))</f>
        <v/>
      </c>
      <c r="AA14" s="292"/>
      <c r="AC14" s="81" t="s">
        <v>96</v>
      </c>
      <c r="AD14" s="88" t="s">
        <v>87</v>
      </c>
      <c r="AF14" s="85" t="str">
        <f>IF(ISBLANK(RaysafeData!K14),"",1000*RaysafeData!K14/(RaysafeData!F14*RaysafeData!O14))</f>
        <v/>
      </c>
      <c r="AG14" s="86"/>
      <c r="AH14" s="287" t="s">
        <v>199</v>
      </c>
      <c r="AI14" s="85" t="str">
        <f>IF((COUNTIF(AI9:AI12,""))&gt;0,"",STDEVA(AI9:AI12))</f>
        <v/>
      </c>
      <c r="AJ14" s="85" t="str">
        <f>IF((COUNTIF(AJ9:AJ12,""))&gt;0,"",STDEVA(AJ9:AJ12))</f>
        <v/>
      </c>
      <c r="AK14" s="288"/>
      <c r="AM14" s="69"/>
      <c r="AN14" s="69"/>
      <c r="AO14" s="69"/>
      <c r="AP14" s="69"/>
      <c r="AQ14" s="69"/>
      <c r="AV14" s="195"/>
      <c r="AW14" s="195"/>
      <c r="AX14" s="195"/>
      <c r="AY14" s="195"/>
    </row>
    <row r="15" spans="1:52" x14ac:dyDescent="0.2">
      <c r="A15" s="76" t="str">
        <f>IF(ISBLANK(RaysafeData!B15),"",(RaysafeData!B15))</f>
        <v/>
      </c>
      <c r="B15" s="76">
        <f>IF(ISBLANK(RaysafeData!C15),"",(RaysafeData!C15))</f>
        <v>90</v>
      </c>
      <c r="C15" s="76" t="str">
        <f>IF(ISBLANK(RaysafeData!D15),"",(RaysafeData!D15))</f>
        <v>FF</v>
      </c>
      <c r="D15" s="76">
        <f>IF(ISBLANK(RaysafeData!E15),"",(RaysafeData!E15))</f>
        <v>50</v>
      </c>
      <c r="E15" s="76">
        <f>IF(ISBLANK(RaysafeData!F15),"",(RaysafeData!F15))</f>
        <v>200</v>
      </c>
      <c r="F15" s="77">
        <f>IF(ISBLANK(RaysafeData!G15),"",(RaysafeData!G15))</f>
        <v>10</v>
      </c>
      <c r="G15" s="78"/>
      <c r="H15" s="77" t="str">
        <f>IF(ISBLANK(RaysafeData!I15),"",(RaysafeData!I15))</f>
        <v/>
      </c>
      <c r="I15" s="79" t="str">
        <f>IF(ISNUMBER(H15),(H15-RaysafeData!C15)/RaysafeData!C15,"")</f>
        <v/>
      </c>
      <c r="J15" s="392" t="str">
        <f t="shared" si="0"/>
        <v/>
      </c>
      <c r="K15" s="80"/>
      <c r="L15" s="238" t="s">
        <v>180</v>
      </c>
      <c r="M15" s="284" t="str">
        <f>IF(M14="","",(M14/M13))</f>
        <v/>
      </c>
      <c r="N15" s="62" t="s">
        <v>180</v>
      </c>
      <c r="O15" s="288" t="str">
        <f>IF(O14="","",(O14/O13))</f>
        <v/>
      </c>
      <c r="P15" s="80"/>
      <c r="Q15" s="77" t="str">
        <f>IF(ISBLANK(RaysafeData!O15),"",(RaysafeData!O15*1000))</f>
        <v/>
      </c>
      <c r="R15" s="79" t="str">
        <f t="shared" si="1"/>
        <v/>
      </c>
      <c r="S15" s="392" t="str">
        <f t="shared" si="2"/>
        <v/>
      </c>
      <c r="Z15" s="77" t="str">
        <f>IF(ISBLANK(RaysafeData!Y15),"",(RaysafeData!Y15))</f>
        <v/>
      </c>
      <c r="AA15" s="292"/>
      <c r="AC15" s="81" t="s">
        <v>88</v>
      </c>
      <c r="AD15" s="87">
        <f>AA4</f>
        <v>2.5</v>
      </c>
      <c r="AF15" s="85" t="str">
        <f>IF(ISBLANK(RaysafeData!K15),"",1000*RaysafeData!K15/(RaysafeData!F15*RaysafeData!O15))</f>
        <v/>
      </c>
      <c r="AG15" s="86"/>
      <c r="AH15" s="287" t="s">
        <v>34</v>
      </c>
      <c r="AI15" s="395" t="str">
        <f>IF(AI14="","",(AI14/AI13))</f>
        <v/>
      </c>
      <c r="AJ15" s="395" t="str">
        <f>IF(AJ14="","",(AJ14/AJ13))</f>
        <v/>
      </c>
      <c r="AK15" s="290"/>
      <c r="AM15" s="69"/>
      <c r="AN15" s="69"/>
      <c r="AO15" s="69"/>
      <c r="AP15" s="69"/>
      <c r="AQ15" s="69"/>
      <c r="AV15" s="69"/>
    </row>
    <row r="16" spans="1:52" x14ac:dyDescent="0.2">
      <c r="A16" s="76" t="str">
        <f>IF(ISBLANK(RaysafeData!B16),"",(RaysafeData!B16))</f>
        <v/>
      </c>
      <c r="B16" s="76">
        <f>IF(ISBLANK(RaysafeData!C16),"",(RaysafeData!C16))</f>
        <v>109</v>
      </c>
      <c r="C16" s="76" t="str">
        <f>IF(ISBLANK(RaysafeData!D16),"",(RaysafeData!D16))</f>
        <v>FF</v>
      </c>
      <c r="D16" s="76">
        <f>IF(ISBLANK(RaysafeData!E16),"",(RaysafeData!E16))</f>
        <v>50</v>
      </c>
      <c r="E16" s="76">
        <f>IF(ISBLANK(RaysafeData!F16),"",(RaysafeData!F16))</f>
        <v>200</v>
      </c>
      <c r="F16" s="77">
        <f>IF(ISBLANK(RaysafeData!G16),"",(RaysafeData!G16))</f>
        <v>10</v>
      </c>
      <c r="G16" s="78"/>
      <c r="H16" s="77" t="str">
        <f>IF(ISBLANK(RaysafeData!I16),"",(RaysafeData!I16))</f>
        <v/>
      </c>
      <c r="I16" s="79" t="str">
        <f>IF(ISNUMBER(H16),(H16-RaysafeData!C16)/RaysafeData!C16,"")</f>
        <v/>
      </c>
      <c r="J16" s="392" t="str">
        <f t="shared" si="0"/>
        <v/>
      </c>
      <c r="K16" s="80"/>
      <c r="L16" s="93"/>
      <c r="M16" s="296" t="str">
        <f>IF(M15="","",IF(M15&gt;M7,"Fail","Pass"))</f>
        <v/>
      </c>
      <c r="N16" s="70"/>
      <c r="O16" s="296" t="str">
        <f>IF(O15="","",IF(O15&gt;M7,"Fail","Pass"))</f>
        <v/>
      </c>
      <c r="P16" s="80"/>
      <c r="Q16" s="77" t="str">
        <f>IF(ISBLANK(RaysafeData!O16),"",(RaysafeData!O16*1000))</f>
        <v/>
      </c>
      <c r="R16" s="79" t="str">
        <f t="shared" si="1"/>
        <v/>
      </c>
      <c r="S16" s="392" t="str">
        <f t="shared" si="2"/>
        <v/>
      </c>
      <c r="U16" s="262" t="s">
        <v>152</v>
      </c>
      <c r="V16" s="282"/>
      <c r="W16" s="259"/>
      <c r="X16" s="270"/>
      <c r="Z16" s="77" t="str">
        <f>IF(ISBLANK(RaysafeData!Y16),"",(RaysafeData!Y16))</f>
        <v/>
      </c>
      <c r="AA16" s="292"/>
      <c r="AC16" s="85" t="str">
        <f>IF(RaysafeData!Y27="","",RaysafeData!Y27)</f>
        <v/>
      </c>
      <c r="AD16" s="88"/>
      <c r="AF16" s="85" t="str">
        <f>IF(ISBLANK(RaysafeData!K16),"",1000*RaysafeData!K16/(RaysafeData!F16*RaysafeData!O16))</f>
        <v/>
      </c>
      <c r="AG16" s="86"/>
      <c r="AH16" s="96"/>
      <c r="AI16" s="296" t="str">
        <f>IF(AI15="","",IF(AI15&gt;$AH$4,"Fail","Pass"))</f>
        <v/>
      </c>
      <c r="AJ16" s="296" t="str">
        <f>IF(AJ15="","",IF(AJ15&gt;$AH$4,"Fail","Pass"))</f>
        <v/>
      </c>
      <c r="AK16" s="98"/>
      <c r="AM16" s="69"/>
      <c r="AN16" s="69"/>
      <c r="AO16" s="69"/>
      <c r="AP16" s="69"/>
      <c r="AQ16" s="69"/>
      <c r="AV16" s="69"/>
    </row>
    <row r="17" spans="1:43" ht="12" customHeight="1" x14ac:dyDescent="0.2">
      <c r="A17" s="76" t="str">
        <f>IF(ISBLANK(RaysafeData!B17),"",(RaysafeData!B17))</f>
        <v/>
      </c>
      <c r="B17" s="76">
        <f>IF(ISBLANK(RaysafeData!C17),"",(RaysafeData!C17))</f>
        <v>125</v>
      </c>
      <c r="C17" s="76" t="str">
        <f>IF(ISBLANK(RaysafeData!D17),"",(RaysafeData!D17))</f>
        <v>FF</v>
      </c>
      <c r="D17" s="76">
        <f>IF(ISBLANK(RaysafeData!E17),"",(RaysafeData!E17))</f>
        <v>50</v>
      </c>
      <c r="E17" s="76">
        <f>IF(ISBLANK(RaysafeData!F17),"",(RaysafeData!F17))</f>
        <v>200</v>
      </c>
      <c r="F17" s="77">
        <f>IF(ISBLANK(RaysafeData!G17),"",(RaysafeData!G17))</f>
        <v>10</v>
      </c>
      <c r="G17" s="78"/>
      <c r="H17" s="77" t="str">
        <f>IF(ISBLANK(RaysafeData!I17),"",(RaysafeData!I17))</f>
        <v/>
      </c>
      <c r="I17" s="79" t="str">
        <f>IF(ISNUMBER(H17),(H17-RaysafeData!C17)/RaysafeData!C17,"")</f>
        <v/>
      </c>
      <c r="J17" s="392" t="str">
        <f t="shared" si="0"/>
        <v/>
      </c>
      <c r="K17" s="80"/>
      <c r="L17" s="71" t="s">
        <v>97</v>
      </c>
      <c r="M17" s="72">
        <f>Toleranser!D4</f>
        <v>0.1</v>
      </c>
      <c r="N17" s="248" t="s">
        <v>185</v>
      </c>
      <c r="O17" s="74"/>
      <c r="P17" s="80"/>
      <c r="Q17" s="77" t="str">
        <f>IF(ISBLANK(RaysafeData!O17),"",(RaysafeData!O17*1000))</f>
        <v/>
      </c>
      <c r="R17" s="79" t="str">
        <f t="shared" si="1"/>
        <v/>
      </c>
      <c r="S17" s="392" t="str">
        <f t="shared" si="2"/>
        <v/>
      </c>
      <c r="U17" s="81" t="s">
        <v>97</v>
      </c>
      <c r="V17" s="271">
        <v>0.05</v>
      </c>
      <c r="W17" s="599"/>
      <c r="X17" s="88"/>
      <c r="Z17" s="77" t="str">
        <f>IF(ISBLANK(RaysafeData!Y17),"",(RaysafeData!Y17))</f>
        <v/>
      </c>
      <c r="AA17" s="292"/>
      <c r="AC17" s="85" t="str">
        <f>IF(ISBLANK(RaysafeData!Y28),"",(RaysafeData!Y28))</f>
        <v/>
      </c>
      <c r="AD17" s="88"/>
      <c r="AF17" s="85" t="str">
        <f>IF(ISBLANK(RaysafeData!K17),"",1000*RaysafeData!K17/(RaysafeData!F17*RaysafeData!O17))</f>
        <v/>
      </c>
      <c r="AG17" s="86"/>
      <c r="AH17" s="286" t="s">
        <v>197</v>
      </c>
      <c r="AI17" s="113"/>
      <c r="AJ17" s="113"/>
      <c r="AK17" s="133"/>
      <c r="AM17" s="69"/>
      <c r="AN17" s="69"/>
      <c r="AO17" s="69"/>
      <c r="AP17" s="69"/>
      <c r="AQ17" s="69"/>
    </row>
    <row r="18" spans="1:43" x14ac:dyDescent="0.2">
      <c r="A18" s="76" t="str">
        <f>IF(ISBLANK(RaysafeData!B18),"",(RaysafeData!B18))</f>
        <v/>
      </c>
      <c r="B18" s="76">
        <f>IF(ISBLANK(RaysafeData!C18),"",(RaysafeData!C18))</f>
        <v>81</v>
      </c>
      <c r="C18" s="76" t="str">
        <f>IF(ISBLANK(RaysafeData!D18),"",(RaysafeData!D18))</f>
        <v>FF</v>
      </c>
      <c r="D18" s="76">
        <f>IF(ISBLANK(RaysafeData!E18),"",(RaysafeData!E18))</f>
        <v>400</v>
      </c>
      <c r="E18" s="76">
        <f>IF(ISBLANK(RaysafeData!F18),"",(RaysafeData!F18))</f>
        <v>200</v>
      </c>
      <c r="F18" s="77">
        <f>IF(ISBLANK(RaysafeData!G18),"",(RaysafeData!G18))</f>
        <v>80</v>
      </c>
      <c r="G18" s="78"/>
      <c r="H18" s="77" t="str">
        <f>IF(ISBLANK(RaysafeData!I18),"",(RaysafeData!I18))</f>
        <v/>
      </c>
      <c r="I18" s="79" t="str">
        <f>IF(ISNUMBER(H18),(H18-RaysafeData!C18)/RaysafeData!C18,"")</f>
        <v/>
      </c>
      <c r="J18" s="392" t="str">
        <f t="shared" si="0"/>
        <v/>
      </c>
      <c r="K18" s="80"/>
      <c r="L18" s="81"/>
      <c r="M18" s="247" t="s">
        <v>86</v>
      </c>
      <c r="N18" s="247"/>
      <c r="O18" s="88" t="s">
        <v>87</v>
      </c>
      <c r="P18" s="80"/>
      <c r="Q18" s="77" t="str">
        <f>IF(ISBLANK(RaysafeData!O18),"",(RaysafeData!O18*1000))</f>
        <v/>
      </c>
      <c r="R18" s="79" t="str">
        <f t="shared" si="1"/>
        <v/>
      </c>
      <c r="S18" s="392" t="str">
        <f>IF(Q18="","",(IF(ABS(R18)&gt;$R$5,"Fail","Pass")))</f>
        <v/>
      </c>
      <c r="U18" s="75" t="s">
        <v>86</v>
      </c>
      <c r="V18" s="64"/>
      <c r="W18" s="75" t="s">
        <v>87</v>
      </c>
      <c r="X18" s="82"/>
      <c r="Z18" s="77" t="str">
        <f>IF(ISBLANK(RaysafeData!Y18),"",(RaysafeData!Y18))</f>
        <v/>
      </c>
      <c r="AA18" s="292"/>
      <c r="AC18" s="81" t="s">
        <v>181</v>
      </c>
      <c r="AD18" s="297" t="str">
        <f>IF((COUNTIF(AC16:AC17,""))&gt;0,"",AVERAGEA(AC16:AC17))</f>
        <v/>
      </c>
      <c r="AF18" s="85" t="str">
        <f>IF(ISBLANK(RaysafeData!K18),"",1000*RaysafeData!K18/(RaysafeData!F18*RaysafeData!O18))</f>
        <v/>
      </c>
      <c r="AG18" s="86"/>
      <c r="AH18" s="90"/>
      <c r="AI18" s="75" t="s">
        <v>86</v>
      </c>
      <c r="AJ18" s="75" t="s">
        <v>87</v>
      </c>
      <c r="AK18" s="88"/>
      <c r="AM18" s="69"/>
      <c r="AN18" s="69"/>
      <c r="AO18" s="69"/>
      <c r="AP18" s="69"/>
      <c r="AQ18" s="69"/>
    </row>
    <row r="19" spans="1:43" x14ac:dyDescent="0.2">
      <c r="A19" s="76" t="str">
        <f>IF(ISBLANK(RaysafeData!B19),"",(RaysafeData!B19))</f>
        <v/>
      </c>
      <c r="B19" s="76">
        <f>IF(ISBLANK(RaysafeData!C19),"",(RaysafeData!C19))</f>
        <v>81</v>
      </c>
      <c r="C19" s="76" t="str">
        <f>IF(ISBLANK(RaysafeData!D19),"",(RaysafeData!D19))</f>
        <v>FF</v>
      </c>
      <c r="D19" s="76">
        <f>IF(ISBLANK(RaysafeData!E19),"",(RaysafeData!E19))</f>
        <v>200</v>
      </c>
      <c r="E19" s="76">
        <f>IF(ISBLANK(RaysafeData!F19),"",(RaysafeData!F19))</f>
        <v>200</v>
      </c>
      <c r="F19" s="77">
        <f>IF(ISBLANK(RaysafeData!G19),"",(RaysafeData!G19))</f>
        <v>40</v>
      </c>
      <c r="G19" s="78"/>
      <c r="H19" s="77" t="str">
        <f>IF(ISBLANK(RaysafeData!I19),"",(RaysafeData!I19))</f>
        <v/>
      </c>
      <c r="I19" s="79" t="str">
        <f>IF(ISNUMBER(H19),(H19-RaysafeData!C19)/RaysafeData!C19,"")</f>
        <v/>
      </c>
      <c r="J19" s="392" t="str">
        <f t="shared" si="0"/>
        <v/>
      </c>
      <c r="K19" s="80"/>
      <c r="L19" s="90"/>
      <c r="M19" s="77" t="str">
        <f>IF(ISBLANK(H18),"",H18)</f>
        <v/>
      </c>
      <c r="N19" s="64"/>
      <c r="O19" s="77" t="str">
        <f>IF(ISBLANK(H36),"",H36)</f>
        <v/>
      </c>
      <c r="P19" s="80"/>
      <c r="Q19" s="77" t="str">
        <f>IF(ISBLANK(RaysafeData!O19),"",(RaysafeData!O19*1000))</f>
        <v/>
      </c>
      <c r="R19" s="79" t="str">
        <f t="shared" si="1"/>
        <v/>
      </c>
      <c r="S19" s="392" t="str">
        <f t="shared" ref="S19:S24" si="9">IF(Q19="","",(IF(ABS(R19)&gt;$R$5,"Fail","Pass")))</f>
        <v/>
      </c>
      <c r="U19" s="77" t="str">
        <f>IF(ISBLANK(Q11),"",(Q11))</f>
        <v/>
      </c>
      <c r="V19" s="64"/>
      <c r="W19" s="77" t="str">
        <f>IF(ISBLANK(Q29),"",(Q29))</f>
        <v/>
      </c>
      <c r="X19" s="82"/>
      <c r="Z19" s="77" t="str">
        <f>IF(ISBLANK(RaysafeData!Y19),"",(RaysafeData!Y19))</f>
        <v/>
      </c>
      <c r="AA19" s="292"/>
      <c r="AC19" s="93"/>
      <c r="AD19" s="296" t="str">
        <f>IF(AD18="","",(IF(AD18&lt;AD15,"Fail","Pass")))</f>
        <v/>
      </c>
      <c r="AF19" s="85" t="str">
        <f>IF(ISBLANK(RaysafeData!K19),"",1000*RaysafeData!K19/(RaysafeData!F19*RaysafeData!O19))</f>
        <v/>
      </c>
      <c r="AG19" s="86"/>
      <c r="AH19" s="90"/>
      <c r="AI19" s="85" t="str">
        <f>IF(ISBLANK(AF11),"",AF11)</f>
        <v/>
      </c>
      <c r="AJ19" s="85" t="str">
        <f>IF(ISBLANK(AF40),"",AF40)</f>
        <v/>
      </c>
      <c r="AK19" s="87"/>
      <c r="AM19" s="69"/>
      <c r="AN19" s="69"/>
      <c r="AO19" s="69"/>
      <c r="AP19" s="69"/>
      <c r="AQ19" s="69"/>
    </row>
    <row r="20" spans="1:43" x14ac:dyDescent="0.2">
      <c r="A20" s="76" t="str">
        <f>IF(ISBLANK(RaysafeData!B20),"",(RaysafeData!B20))</f>
        <v/>
      </c>
      <c r="B20" s="76">
        <f>IF(ISBLANK(RaysafeData!C20),"",(RaysafeData!C20))</f>
        <v>81</v>
      </c>
      <c r="C20" s="76" t="str">
        <f>IF(ISBLANK(RaysafeData!D20),"",(RaysafeData!D20))</f>
        <v>FF</v>
      </c>
      <c r="D20" s="76">
        <f>IF(ISBLANK(RaysafeData!E20),"",(RaysafeData!E20))</f>
        <v>100</v>
      </c>
      <c r="E20" s="76">
        <f>IF(ISBLANK(RaysafeData!F20),"",(RaysafeData!F20))</f>
        <v>200</v>
      </c>
      <c r="F20" s="77">
        <f>IF(ISBLANK(RaysafeData!G20),"",(RaysafeData!G20))</f>
        <v>20</v>
      </c>
      <c r="G20" s="78"/>
      <c r="H20" s="77" t="str">
        <f>IF(ISBLANK(RaysafeData!I20),"",(RaysafeData!I20))</f>
        <v/>
      </c>
      <c r="I20" s="79" t="str">
        <f>IF(ISNUMBER(H20),(H20-RaysafeData!C20)/RaysafeData!C20,"")</f>
        <v/>
      </c>
      <c r="J20" s="392" t="str">
        <f t="shared" si="0"/>
        <v/>
      </c>
      <c r="K20" s="80"/>
      <c r="L20" s="90"/>
      <c r="M20" s="77" t="str">
        <f t="shared" ref="M20:M22" si="10">IF(ISBLANK(H19),"",H19)</f>
        <v/>
      </c>
      <c r="N20" s="64"/>
      <c r="O20" s="77" t="str">
        <f t="shared" ref="O20:O22" si="11">IF(ISBLANK(H37),"",H37)</f>
        <v/>
      </c>
      <c r="P20" s="80"/>
      <c r="Q20" s="77" t="str">
        <f>IF(ISBLANK(RaysafeData!O20),"",(RaysafeData!O20*1000))</f>
        <v/>
      </c>
      <c r="R20" s="79" t="str">
        <f t="shared" si="1"/>
        <v/>
      </c>
      <c r="S20" s="392" t="str">
        <f t="shared" si="9"/>
        <v/>
      </c>
      <c r="U20" s="77" t="str">
        <f>IF(ISBLANK(Q12),"",(Q12))</f>
        <v/>
      </c>
      <c r="V20" s="64"/>
      <c r="W20" s="77" t="str">
        <f>IF(ISBLANK(Q30),"",(Q30))</f>
        <v/>
      </c>
      <c r="X20" s="82"/>
      <c r="Z20" s="77" t="str">
        <f>IF(ISBLANK(RaysafeData!Y20),"",(RaysafeData!Y20))</f>
        <v/>
      </c>
      <c r="AA20" s="292"/>
      <c r="AF20" s="85" t="str">
        <f>IF(ISBLANK(RaysafeData!K20),"",1000*RaysafeData!K20/(RaysafeData!F20*RaysafeData!O20))</f>
        <v/>
      </c>
      <c r="AG20" s="86"/>
      <c r="AH20" s="90"/>
      <c r="AI20" s="85" t="str">
        <f>IF(ISBLANK(AF22),"",AF22)</f>
        <v/>
      </c>
      <c r="AJ20" s="85" t="str">
        <f t="shared" ref="AJ20:AJ22" si="12">IF(ISBLANK(AF41),"",AF41)</f>
        <v/>
      </c>
      <c r="AK20" s="87"/>
      <c r="AM20" s="69"/>
      <c r="AN20" s="69"/>
      <c r="AO20" s="69"/>
      <c r="AP20" s="69"/>
      <c r="AQ20" s="69"/>
    </row>
    <row r="21" spans="1:43" x14ac:dyDescent="0.2">
      <c r="A21" s="76" t="str">
        <f>IF(ISBLANK(RaysafeData!B21),"",(RaysafeData!B21))</f>
        <v/>
      </c>
      <c r="B21" s="76">
        <f>IF(ISBLANK(RaysafeData!C21),"",(RaysafeData!C21))</f>
        <v>81</v>
      </c>
      <c r="C21" s="76" t="str">
        <f>IF(ISBLANK(RaysafeData!D21),"",(RaysafeData!D21))</f>
        <v>FF</v>
      </c>
      <c r="D21" s="76">
        <f>IF(ISBLANK(RaysafeData!E21),"",(RaysafeData!E21))</f>
        <v>32</v>
      </c>
      <c r="E21" s="76">
        <f>IF(ISBLANK(RaysafeData!F21),"",(RaysafeData!F21))</f>
        <v>200</v>
      </c>
      <c r="F21" s="77">
        <f>IF(ISBLANK(RaysafeData!G21),"",(RaysafeData!G21))</f>
        <v>6.4</v>
      </c>
      <c r="G21" s="78"/>
      <c r="H21" s="77" t="str">
        <f>IF(ISBLANK(RaysafeData!I21),"",(RaysafeData!I21))</f>
        <v/>
      </c>
      <c r="I21" s="79" t="str">
        <f>IF(ISNUMBER(H21),(H21-RaysafeData!C21)/RaysafeData!C21,"")</f>
        <v/>
      </c>
      <c r="J21" s="392" t="str">
        <f t="shared" si="0"/>
        <v/>
      </c>
      <c r="K21" s="80"/>
      <c r="L21" s="90"/>
      <c r="M21" s="77" t="str">
        <f t="shared" si="10"/>
        <v/>
      </c>
      <c r="N21" s="64"/>
      <c r="O21" s="77" t="str">
        <f t="shared" si="11"/>
        <v/>
      </c>
      <c r="P21" s="80"/>
      <c r="Q21" s="77" t="str">
        <f>IF(ISBLANK(RaysafeData!O21),"",(RaysafeData!O21*1000))</f>
        <v/>
      </c>
      <c r="R21" s="79" t="str">
        <f t="shared" si="1"/>
        <v/>
      </c>
      <c r="S21" s="392" t="str">
        <f t="shared" si="9"/>
        <v/>
      </c>
      <c r="U21" s="77" t="str">
        <f>IF(ISBLANK(Q13),"",(Q13))</f>
        <v/>
      </c>
      <c r="V21" s="64"/>
      <c r="W21" s="77" t="str">
        <f>IF(ISBLANK(Q31),"",(Q31))</f>
        <v/>
      </c>
      <c r="X21" s="82"/>
      <c r="Z21" s="77" t="str">
        <f>IF(ISBLANK(RaysafeData!Y21),"",(RaysafeData!Y21))</f>
        <v/>
      </c>
      <c r="AA21" s="292"/>
      <c r="AF21" s="85" t="str">
        <f>IF(ISBLANK(RaysafeData!K21),"",1000*RaysafeData!K21/(RaysafeData!F21*RaysafeData!O21))</f>
        <v/>
      </c>
      <c r="AG21" s="86"/>
      <c r="AH21" s="90"/>
      <c r="AI21" s="85" t="str">
        <f t="shared" ref="AI21:AI22" si="13">IF(ISBLANK(AF23),"",AF23)</f>
        <v/>
      </c>
      <c r="AJ21" s="85" t="str">
        <f t="shared" si="12"/>
        <v/>
      </c>
      <c r="AK21" s="87"/>
      <c r="AM21" s="69"/>
      <c r="AN21" s="69"/>
      <c r="AO21" s="69"/>
      <c r="AP21" s="69"/>
      <c r="AQ21" s="69"/>
    </row>
    <row r="22" spans="1:43" x14ac:dyDescent="0.2">
      <c r="A22" s="76" t="str">
        <f>IF(ISBLANK(RaysafeData!B22),"",(RaysafeData!B22))</f>
        <v/>
      </c>
      <c r="B22" s="76">
        <f>IF(ISBLANK(RaysafeData!C22),"",(RaysafeData!C22))</f>
        <v>81</v>
      </c>
      <c r="C22" s="76" t="str">
        <f>IF(ISBLANK(RaysafeData!D22),"",(RaysafeData!D22))</f>
        <v>FF</v>
      </c>
      <c r="D22" s="76">
        <f>IF(ISBLANK(RaysafeData!E22),"",(RaysafeData!E22))</f>
        <v>50</v>
      </c>
      <c r="E22" s="76">
        <f>IF(ISBLANK(RaysafeData!F22),"",(RaysafeData!F22))</f>
        <v>50</v>
      </c>
      <c r="F22" s="77">
        <f>IF(ISBLANK(RaysafeData!G22),"",(RaysafeData!G22))</f>
        <v>2.5</v>
      </c>
      <c r="G22" s="78"/>
      <c r="H22" s="77" t="str">
        <f>IF(ISBLANK(RaysafeData!I22),"",(RaysafeData!I22))</f>
        <v/>
      </c>
      <c r="I22" s="79" t="str">
        <f>IF(ISNUMBER(H22),(H22-RaysafeData!C22)/RaysafeData!C22,"")</f>
        <v/>
      </c>
      <c r="J22" s="392" t="str">
        <f t="shared" si="0"/>
        <v/>
      </c>
      <c r="K22" s="80"/>
      <c r="L22" s="90"/>
      <c r="M22" s="77" t="str">
        <f t="shared" si="10"/>
        <v/>
      </c>
      <c r="N22" s="64"/>
      <c r="O22" s="77" t="str">
        <f t="shared" si="11"/>
        <v/>
      </c>
      <c r="P22" s="80"/>
      <c r="Q22" s="77" t="str">
        <f>IF(ISBLANK(RaysafeData!O22),"",(RaysafeData!O22*1000))</f>
        <v/>
      </c>
      <c r="R22" s="79" t="str">
        <f t="shared" si="1"/>
        <v/>
      </c>
      <c r="S22" s="392" t="str">
        <f t="shared" si="9"/>
        <v/>
      </c>
      <c r="U22" s="77" t="str">
        <f>IF(ISBLANK(Q14),"",(Q14))</f>
        <v/>
      </c>
      <c r="V22" s="64"/>
      <c r="W22" s="77" t="str">
        <f>IF(ISBLANK(Q32),"",(Q32))</f>
        <v/>
      </c>
      <c r="X22" s="82"/>
      <c r="Z22" s="77" t="str">
        <f>IF(ISBLANK(RaysafeData!Y22),"",(RaysafeData!Y22))</f>
        <v/>
      </c>
      <c r="AA22" s="292"/>
      <c r="AC22" s="84" t="s">
        <v>366</v>
      </c>
      <c r="AD22" s="133"/>
      <c r="AF22" s="85" t="str">
        <f>IF(ISBLANK(RaysafeData!K22),"",1000*RaysafeData!K22/(RaysafeData!F22*RaysafeData!O22))</f>
        <v/>
      </c>
      <c r="AG22" s="86"/>
      <c r="AH22" s="90"/>
      <c r="AI22" s="85" t="str">
        <f t="shared" si="13"/>
        <v/>
      </c>
      <c r="AJ22" s="85" t="str">
        <f t="shared" si="12"/>
        <v/>
      </c>
      <c r="AK22" s="87"/>
      <c r="AM22" s="69"/>
      <c r="AN22" s="69"/>
      <c r="AO22" s="69"/>
      <c r="AP22" s="69"/>
      <c r="AQ22" s="69"/>
    </row>
    <row r="23" spans="1:43" x14ac:dyDescent="0.2">
      <c r="A23" s="76" t="str">
        <f>IF(ISBLANK(RaysafeData!B23),"",(RaysafeData!B23))</f>
        <v/>
      </c>
      <c r="B23" s="76">
        <f>IF(ISBLANK(RaysafeData!C23),"",(RaysafeData!C23))</f>
        <v>81</v>
      </c>
      <c r="C23" s="76" t="str">
        <f>IF(ISBLANK(RaysafeData!D23),"",(RaysafeData!D23))</f>
        <v>FF</v>
      </c>
      <c r="D23" s="76">
        <f>IF(ISBLANK(RaysafeData!E23),"",(RaysafeData!E23))</f>
        <v>50</v>
      </c>
      <c r="E23" s="76">
        <f>IF(ISBLANK(RaysafeData!F23),"",(RaysafeData!F23))</f>
        <v>100</v>
      </c>
      <c r="F23" s="77">
        <f>IF(ISBLANK(RaysafeData!G23),"",(RaysafeData!G23))</f>
        <v>5</v>
      </c>
      <c r="G23" s="78"/>
      <c r="H23" s="77" t="str">
        <f>IF(ISBLANK(RaysafeData!I23),"",(RaysafeData!I23))</f>
        <v/>
      </c>
      <c r="I23" s="79" t="str">
        <f>IF(ISNUMBER(H23),(H23-RaysafeData!C23)/RaysafeData!C23,"")</f>
        <v/>
      </c>
      <c r="J23" s="392" t="str">
        <f t="shared" si="0"/>
        <v/>
      </c>
      <c r="K23" s="80"/>
      <c r="L23" s="238" t="s">
        <v>178</v>
      </c>
      <c r="M23" s="91" t="str">
        <f>IF((COUNTIF(M19:M22,""))&gt;0,"",AVERAGEA(M19:M22))</f>
        <v/>
      </c>
      <c r="N23" s="62" t="s">
        <v>178</v>
      </c>
      <c r="O23" s="92" t="str">
        <f>IF((COUNTIF(O19:O22,""))&gt;0,"",AVERAGEA(O19:O22))</f>
        <v/>
      </c>
      <c r="P23" s="80"/>
      <c r="Q23" s="77" t="str">
        <f>IF(ISBLANK(RaysafeData!O23),"",(RaysafeData!O23*1000))</f>
        <v/>
      </c>
      <c r="R23" s="79" t="str">
        <f t="shared" si="1"/>
        <v/>
      </c>
      <c r="S23" s="392" t="str">
        <f t="shared" si="9"/>
        <v/>
      </c>
      <c r="U23" s="238" t="s">
        <v>178</v>
      </c>
      <c r="V23" s="91" t="str">
        <f>IF((COUNTIF(U19:U22,""))&gt;0,"",AVERAGEA(U19:U22))</f>
        <v/>
      </c>
      <c r="W23" s="62" t="s">
        <v>178</v>
      </c>
      <c r="X23" s="92" t="str">
        <f>IF((COUNTIF(W19:W22,""))&gt;0,"",AVERAGEA(W19:W22))</f>
        <v/>
      </c>
      <c r="Z23" s="77" t="str">
        <f>IF(ISBLANK(RaysafeData!Y23),"",(RaysafeData!Y23))</f>
        <v/>
      </c>
      <c r="AA23" s="292"/>
      <c r="AC23" s="601"/>
      <c r="AD23" s="88"/>
      <c r="AF23" s="85" t="str">
        <f>IF(ISBLANK(RaysafeData!K23),"",1000*RaysafeData!K23/(RaysafeData!F23*RaysafeData!O23))</f>
        <v/>
      </c>
      <c r="AG23" s="86"/>
      <c r="AH23" s="287" t="s">
        <v>198</v>
      </c>
      <c r="AI23" s="77" t="str">
        <f>IF((COUNTIF(AI19:AI22,""))&gt;0,"",AVERAGEA(AI19:AI22))</f>
        <v/>
      </c>
      <c r="AJ23" s="77" t="str">
        <f>IF((COUNTIF(AJ19:AJ22,""))&gt;0,"",AVERAGEA(AJ19:AJ22))</f>
        <v/>
      </c>
      <c r="AK23" s="89"/>
      <c r="AM23" s="69"/>
      <c r="AN23" s="69"/>
      <c r="AO23" s="69"/>
      <c r="AP23" s="69"/>
      <c r="AQ23" s="69"/>
    </row>
    <row r="24" spans="1:43" x14ac:dyDescent="0.2">
      <c r="A24" s="76" t="str">
        <f>IF(ISBLANK(RaysafeData!B24),"",(RaysafeData!B24))</f>
        <v/>
      </c>
      <c r="B24" s="76">
        <f>IF(ISBLANK(RaysafeData!C24),"",(RaysafeData!C24))</f>
        <v>81</v>
      </c>
      <c r="C24" s="76" t="str">
        <f>IF(ISBLANK(RaysafeData!D24),"",(RaysafeData!D24))</f>
        <v>FF</v>
      </c>
      <c r="D24" s="76">
        <f>IF(ISBLANK(RaysafeData!E24),"",(RaysafeData!E24))</f>
        <v>50</v>
      </c>
      <c r="E24" s="76">
        <f>IF(ISBLANK(RaysafeData!F24),"",(RaysafeData!F24))</f>
        <v>250</v>
      </c>
      <c r="F24" s="77">
        <f>IF(ISBLANK(RaysafeData!G24),"",(RaysafeData!G24))</f>
        <v>12.5</v>
      </c>
      <c r="G24" s="78"/>
      <c r="H24" s="77" t="str">
        <f>IF(ISBLANK(RaysafeData!I24),"",(RaysafeData!I24))</f>
        <v/>
      </c>
      <c r="I24" s="79" t="str">
        <f>IF(ISNUMBER(H24),(H24-RaysafeData!C24)/RaysafeData!C24,"")</f>
        <v/>
      </c>
      <c r="J24" s="392" t="str">
        <f t="shared" si="0"/>
        <v/>
      </c>
      <c r="K24" s="80"/>
      <c r="L24" s="238" t="s">
        <v>179</v>
      </c>
      <c r="M24" s="86" t="str">
        <f>IF((COUNTIF(M19:M22,""))&gt;0,"",STDEVA(M19:M22))</f>
        <v/>
      </c>
      <c r="N24" s="62" t="s">
        <v>179</v>
      </c>
      <c r="O24" s="86" t="str">
        <f>IF((COUNTIF(O19:O22,""))&gt;0,"",STDEVA(O19:O22))</f>
        <v/>
      </c>
      <c r="P24" s="80"/>
      <c r="Q24" s="77" t="str">
        <f>IF(ISBLANK(RaysafeData!O24),"",(RaysafeData!O24*1000))</f>
        <v/>
      </c>
      <c r="R24" s="79" t="str">
        <f t="shared" si="1"/>
        <v/>
      </c>
      <c r="S24" s="392" t="str">
        <f t="shared" si="9"/>
        <v/>
      </c>
      <c r="U24" s="238" t="s">
        <v>179</v>
      </c>
      <c r="V24" s="86" t="str">
        <f>IF((COUNTIF(U19:U22,""))&gt;0,"",STDEVA(U19:U22))</f>
        <v/>
      </c>
      <c r="W24" s="62" t="s">
        <v>179</v>
      </c>
      <c r="X24" s="87" t="str">
        <f>IF((COUNTIF(W19:W22,""))&gt;0,"",STDEVA(W19:W22))</f>
        <v/>
      </c>
      <c r="Z24" s="77" t="str">
        <f>IF(ISBLANK(RaysafeData!Y24),"",(RaysafeData!Y24))</f>
        <v/>
      </c>
      <c r="AA24" s="292"/>
      <c r="AC24" s="85" t="str">
        <f>IF(RaysafeData!Y11="","",AVERAGE(RaysafeData!Y11:Y14))</f>
        <v/>
      </c>
      <c r="AD24" s="88" t="s">
        <v>86</v>
      </c>
      <c r="AF24" s="85" t="str">
        <f>IF(ISBLANK(RaysafeData!K24),"",1000*RaysafeData!K24/(RaysafeData!F24*RaysafeData!O24))</f>
        <v/>
      </c>
      <c r="AG24" s="86"/>
      <c r="AH24" s="287" t="s">
        <v>199</v>
      </c>
      <c r="AI24" s="85" t="str">
        <f>IF((COUNTIF(AI19:AI22,""))&gt;0,"",STDEVA(AI19:AI22))</f>
        <v/>
      </c>
      <c r="AJ24" s="85" t="str">
        <f>IF((COUNTIF(AJ19:AJ22,""))&gt;0,"",STDEVA(AJ19:AJ22))</f>
        <v/>
      </c>
      <c r="AK24" s="288"/>
      <c r="AM24" s="69"/>
      <c r="AN24" s="69"/>
      <c r="AO24" s="69"/>
      <c r="AP24" s="69"/>
      <c r="AQ24" s="69"/>
    </row>
    <row r="25" spans="1:43" x14ac:dyDescent="0.2">
      <c r="A25" s="76" t="str">
        <f>IF(ISBLANK(RaysafeData!B25),"",(RaysafeData!B25))</f>
        <v/>
      </c>
      <c r="B25" s="76">
        <f>IF(ISBLANK(RaysafeData!C25),"",(RaysafeData!C25))</f>
        <v>50</v>
      </c>
      <c r="C25" s="76" t="str">
        <f>IF(ISBLANK(RaysafeData!D25),"",(RaysafeData!D25))</f>
        <v>GF</v>
      </c>
      <c r="D25" s="76">
        <f>IF(ISBLANK(RaysafeData!E25),"",(RaysafeData!E25))</f>
        <v>50</v>
      </c>
      <c r="E25" s="76">
        <f>IF(ISBLANK(RaysafeData!F25),"",(RaysafeData!F25))</f>
        <v>200</v>
      </c>
      <c r="F25" s="77">
        <f>IF(ISBLANK(RaysafeData!G25),"",(RaysafeData!G25))</f>
        <v>10</v>
      </c>
      <c r="G25" s="78"/>
      <c r="H25" s="77" t="str">
        <f>IF(ISBLANK(RaysafeData!I25),"",(RaysafeData!I25))</f>
        <v/>
      </c>
      <c r="I25" s="79" t="str">
        <f>IF(ISNUMBER(H25),(H25-RaysafeData!C25)/RaysafeData!C25,"")</f>
        <v/>
      </c>
      <c r="J25" s="392" t="str">
        <f t="shared" si="0"/>
        <v/>
      </c>
      <c r="K25" s="80"/>
      <c r="L25" s="238" t="s">
        <v>180</v>
      </c>
      <c r="M25" s="284" t="str">
        <f>IF(M24="","",(M24/M23))</f>
        <v/>
      </c>
      <c r="N25" s="62" t="s">
        <v>180</v>
      </c>
      <c r="O25" s="288" t="str">
        <f>IF(O24="","",(O24/O23))</f>
        <v/>
      </c>
      <c r="P25" s="80"/>
      <c r="Q25" s="77" t="str">
        <f>IF(ISBLANK(RaysafeData!O25),"",(RaysafeData!O25*1000))</f>
        <v/>
      </c>
      <c r="R25" s="79" t="str">
        <f t="shared" si="1"/>
        <v/>
      </c>
      <c r="S25" s="392" t="str">
        <f>IF(Q25="","",(IF(ABS(R25)&gt;$R$4,"Fail","Pass")))</f>
        <v/>
      </c>
      <c r="U25" s="238" t="s">
        <v>180</v>
      </c>
      <c r="V25" s="284" t="str">
        <f>IF(V24="","",(V24/V23))</f>
        <v/>
      </c>
      <c r="W25" s="293" t="s">
        <v>180</v>
      </c>
      <c r="X25" s="288" t="str">
        <f>IF(X24="","",(X24/X23))</f>
        <v/>
      </c>
      <c r="Z25" s="77" t="str">
        <f>IF(ISBLANK(RaysafeData!Y25),"",(RaysafeData!Y25))</f>
        <v/>
      </c>
      <c r="AA25" s="292"/>
      <c r="AC25" s="85" t="str">
        <f>IF(RaysafeData!Y27="","",AVERAGE(RaysafeData!Y27:Y32))</f>
        <v/>
      </c>
      <c r="AD25" s="602" t="s">
        <v>87</v>
      </c>
      <c r="AF25" s="85" t="str">
        <f>IF(ISBLANK(RaysafeData!K25),"",1000*RaysafeData!K25/(RaysafeData!F25*RaysafeData!O25))</f>
        <v/>
      </c>
      <c r="AG25" s="86"/>
      <c r="AH25" s="287" t="s">
        <v>34</v>
      </c>
      <c r="AI25" s="395" t="str">
        <f>IF(AI24="","",(AI24/AI23))</f>
        <v/>
      </c>
      <c r="AJ25" s="395" t="str">
        <f>IF(AJ24="","",(AJ24/AJ23))</f>
        <v/>
      </c>
      <c r="AK25" s="290"/>
      <c r="AM25" s="69"/>
      <c r="AN25" s="69"/>
      <c r="AO25" s="69"/>
      <c r="AP25" s="69"/>
      <c r="AQ25" s="69"/>
    </row>
    <row r="26" spans="1:43" x14ac:dyDescent="0.2">
      <c r="A26" s="76" t="str">
        <f>IF(ISBLANK(RaysafeData!B26),"",(RaysafeData!B26))</f>
        <v/>
      </c>
      <c r="B26" s="76">
        <f>IF(ISBLANK(RaysafeData!C26),"",(RaysafeData!C26))</f>
        <v>60</v>
      </c>
      <c r="C26" s="76" t="str">
        <f>IF(ISBLANK(RaysafeData!D26),"",(RaysafeData!D26))</f>
        <v>GF</v>
      </c>
      <c r="D26" s="76">
        <f>IF(ISBLANK(RaysafeData!E26),"",(RaysafeData!E26))</f>
        <v>50</v>
      </c>
      <c r="E26" s="76">
        <f>IF(ISBLANK(RaysafeData!F26),"",(RaysafeData!F26))</f>
        <v>200</v>
      </c>
      <c r="F26" s="77">
        <f>IF(ISBLANK(RaysafeData!G26),"",(RaysafeData!G26))</f>
        <v>10</v>
      </c>
      <c r="G26" s="78"/>
      <c r="H26" s="77" t="str">
        <f>IF(ISBLANK(RaysafeData!I26),"",(RaysafeData!I26))</f>
        <v/>
      </c>
      <c r="I26" s="79" t="str">
        <f>IF(ISNUMBER(H26),(H26-RaysafeData!C26)/RaysafeData!C26,"")</f>
        <v/>
      </c>
      <c r="J26" s="392" t="str">
        <f t="shared" si="0"/>
        <v/>
      </c>
      <c r="K26" s="80"/>
      <c r="L26" s="93"/>
      <c r="M26" s="296" t="str">
        <f>IF(M25="","",IF(M25&gt;M17,"Fail","Pass"))</f>
        <v/>
      </c>
      <c r="N26" s="70"/>
      <c r="O26" s="296" t="str">
        <f>IF(O25="","",IF(O25&gt;M17,"Fail","Pass"))</f>
        <v/>
      </c>
      <c r="P26" s="80"/>
      <c r="Q26" s="77" t="str">
        <f>IF(ISBLANK(RaysafeData!O26),"",(RaysafeData!O26*1000))</f>
        <v/>
      </c>
      <c r="R26" s="79" t="str">
        <f t="shared" si="1"/>
        <v/>
      </c>
      <c r="S26" s="392" t="str">
        <f t="shared" ref="S26:S35" si="14">IF(Q26="","",(IF(ABS(R26)&gt;$R$4,"Fail","Pass")))</f>
        <v/>
      </c>
      <c r="U26" s="93"/>
      <c r="V26" s="296" t="str">
        <f>IF(V25="","",IF(V25&gt;0.05,"Fail","Pass"))</f>
        <v/>
      </c>
      <c r="W26" s="70"/>
      <c r="X26" s="296" t="str">
        <f>IF(X25="","",IF(X25&gt;0.05,"Fail","Pass"))</f>
        <v/>
      </c>
      <c r="Z26" s="77" t="str">
        <f>IF(ISBLANK(RaysafeData!Y26),"",(RaysafeData!Y26))</f>
        <v/>
      </c>
      <c r="AA26" s="292"/>
      <c r="AC26" s="519"/>
      <c r="AF26" s="85" t="str">
        <f>IF(ISBLANK(RaysafeData!K26),"",1000*RaysafeData!K26/(RaysafeData!F26*RaysafeData!O26))</f>
        <v/>
      </c>
      <c r="AG26" s="86"/>
      <c r="AH26" s="96"/>
      <c r="AI26" s="296" t="str">
        <f>IF(AI25="","",IF(AI25&gt;$AH$5,"Fail","Pass"))</f>
        <v/>
      </c>
      <c r="AJ26" s="296" t="str">
        <f>IF(AJ25="","",IF(AJ25&gt;$AH$5,"Fail","Pass"))</f>
        <v/>
      </c>
      <c r="AK26" s="98"/>
      <c r="AM26" s="69"/>
      <c r="AN26" s="69"/>
      <c r="AO26" s="69"/>
      <c r="AP26" s="69"/>
      <c r="AQ26" s="69"/>
    </row>
    <row r="27" spans="1:43" x14ac:dyDescent="0.2">
      <c r="A27" s="76" t="str">
        <f>IF(ISBLANK(RaysafeData!B27),"",(RaysafeData!B27))</f>
        <v/>
      </c>
      <c r="B27" s="76">
        <f>IF(ISBLANK(RaysafeData!C27),"",(RaysafeData!C27))</f>
        <v>70</v>
      </c>
      <c r="C27" s="76" t="str">
        <f>IF(ISBLANK(RaysafeData!D27),"",(RaysafeData!D27))</f>
        <v>GF</v>
      </c>
      <c r="D27" s="76">
        <f>IF(ISBLANK(RaysafeData!E27),"",(RaysafeData!E27))</f>
        <v>50</v>
      </c>
      <c r="E27" s="76">
        <f>IF(ISBLANK(RaysafeData!F27),"",(RaysafeData!F27))</f>
        <v>200</v>
      </c>
      <c r="F27" s="77">
        <f>IF(ISBLANK(RaysafeData!G27),"",(RaysafeData!G27))</f>
        <v>10</v>
      </c>
      <c r="G27" s="78"/>
      <c r="H27" s="77" t="str">
        <f>IF(ISBLANK(RaysafeData!I27),"",(RaysafeData!I27))</f>
        <v/>
      </c>
      <c r="I27" s="79" t="str">
        <f>IF(ISNUMBER(H27),(H27-RaysafeData!C27)/RaysafeData!C27,"")</f>
        <v/>
      </c>
      <c r="J27" s="392" t="str">
        <f t="shared" si="0"/>
        <v/>
      </c>
      <c r="K27" s="80"/>
      <c r="L27" s="71" t="s">
        <v>97</v>
      </c>
      <c r="M27" s="72">
        <f>Toleranser!D5</f>
        <v>0.1</v>
      </c>
      <c r="N27" s="248" t="s">
        <v>186</v>
      </c>
      <c r="O27" s="74"/>
      <c r="P27" s="80"/>
      <c r="Q27" s="77" t="str">
        <f>IF(ISBLANK(RaysafeData!O27),"",(RaysafeData!O27*1000))</f>
        <v/>
      </c>
      <c r="R27" s="79" t="str">
        <f t="shared" si="1"/>
        <v/>
      </c>
      <c r="S27" s="392" t="str">
        <f t="shared" si="14"/>
        <v/>
      </c>
      <c r="Z27" s="300" t="str">
        <f>IF(ISBLANK(RaysafeData!Y27),"",(RaysafeData!Y27))</f>
        <v/>
      </c>
      <c r="AA27" s="299"/>
      <c r="AC27" s="84" t="s">
        <v>367</v>
      </c>
      <c r="AD27" s="133"/>
      <c r="AF27" s="85" t="str">
        <f>IF(ISBLANK(RaysafeData!K27),"",1000*RaysafeData!K27/(RaysafeData!F27*RaysafeData!O27))</f>
        <v/>
      </c>
      <c r="AG27" s="86"/>
      <c r="AH27" s="286" t="s">
        <v>200</v>
      </c>
      <c r="AI27" s="113"/>
      <c r="AJ27" s="113"/>
      <c r="AK27" s="133"/>
      <c r="AM27" s="69"/>
      <c r="AN27" s="69"/>
      <c r="AO27" s="69"/>
      <c r="AP27" s="69"/>
      <c r="AQ27" s="69"/>
    </row>
    <row r="28" spans="1:43" x14ac:dyDescent="0.2">
      <c r="A28" s="76" t="str">
        <f>IF(ISBLANK(RaysafeData!B28),"",(RaysafeData!B28))</f>
        <v/>
      </c>
      <c r="B28" s="76">
        <f>IF(ISBLANK(RaysafeData!C28),"",(RaysafeData!C28))</f>
        <v>70</v>
      </c>
      <c r="C28" s="76" t="str">
        <f>IF(ISBLANK(RaysafeData!D28),"",(RaysafeData!D28))</f>
        <v>GF</v>
      </c>
      <c r="D28" s="76">
        <f>IF(ISBLANK(RaysafeData!E28),"",(RaysafeData!E28))</f>
        <v>50</v>
      </c>
      <c r="E28" s="76">
        <f>IF(ISBLANK(RaysafeData!F28),"",(RaysafeData!F28))</f>
        <v>200</v>
      </c>
      <c r="F28" s="77">
        <f>IF(ISBLANK(RaysafeData!G28),"",(RaysafeData!G28))</f>
        <v>10</v>
      </c>
      <c r="G28" s="78"/>
      <c r="H28" s="77" t="str">
        <f>IF(ISBLANK(RaysafeData!I28),"",(RaysafeData!I28))</f>
        <v/>
      </c>
      <c r="I28" s="79" t="str">
        <f>IF(ISNUMBER(H28),(H28-RaysafeData!C28)/RaysafeData!C28,"")</f>
        <v/>
      </c>
      <c r="J28" s="392" t="str">
        <f t="shared" si="0"/>
        <v/>
      </c>
      <c r="K28" s="80"/>
      <c r="L28" s="81"/>
      <c r="M28" s="247" t="s">
        <v>86</v>
      </c>
      <c r="N28" s="247"/>
      <c r="O28" s="88" t="s">
        <v>87</v>
      </c>
      <c r="P28" s="80"/>
      <c r="Q28" s="77" t="str">
        <f>IF(ISBLANK(RaysafeData!O28),"",(RaysafeData!O28*1000))</f>
        <v/>
      </c>
      <c r="R28" s="79" t="str">
        <f t="shared" si="1"/>
        <v/>
      </c>
      <c r="S28" s="392" t="str">
        <f t="shared" si="14"/>
        <v/>
      </c>
      <c r="Z28" s="300" t="str">
        <f>IF(ISBLANK(RaysafeData!Y28),"",(RaysafeData!Y28))</f>
        <v/>
      </c>
      <c r="AA28" s="299"/>
      <c r="AC28" s="238"/>
      <c r="AD28" s="82"/>
      <c r="AF28" s="85" t="str">
        <f>IF(ISBLANK(RaysafeData!K28),"",1000*RaysafeData!K28/(RaysafeData!F28*RaysafeData!O28))</f>
        <v/>
      </c>
      <c r="AG28" s="86"/>
      <c r="AH28" s="90"/>
      <c r="AI28" s="75" t="s">
        <v>86</v>
      </c>
      <c r="AJ28" s="75" t="s">
        <v>87</v>
      </c>
      <c r="AK28" s="88"/>
      <c r="AM28" s="69"/>
      <c r="AN28" s="69"/>
      <c r="AO28" s="69"/>
      <c r="AP28" s="69"/>
      <c r="AQ28" s="69"/>
    </row>
    <row r="29" spans="1:43" ht="12" thickBot="1" x14ac:dyDescent="0.25">
      <c r="A29" s="76" t="str">
        <f>IF(ISBLANK(RaysafeData!B29),"",(RaysafeData!B29))</f>
        <v/>
      </c>
      <c r="B29" s="76">
        <f>IF(ISBLANK(RaysafeData!C29),"",(RaysafeData!C29))</f>
        <v>81</v>
      </c>
      <c r="C29" s="76" t="str">
        <f>IF(ISBLANK(RaysafeData!D29),"",(RaysafeData!D29))</f>
        <v>GF</v>
      </c>
      <c r="D29" s="76">
        <f>IF(ISBLANK(RaysafeData!E29),"",(RaysafeData!E29))</f>
        <v>50</v>
      </c>
      <c r="E29" s="76">
        <f>IF(ISBLANK(RaysafeData!F29),"",(RaysafeData!F29))</f>
        <v>200</v>
      </c>
      <c r="F29" s="77">
        <f>IF(ISBLANK(RaysafeData!G29),"",(RaysafeData!G29))</f>
        <v>10</v>
      </c>
      <c r="G29" s="78"/>
      <c r="H29" s="77" t="str">
        <f>IF(ISBLANK(RaysafeData!I29),"",(RaysafeData!I29))</f>
        <v/>
      </c>
      <c r="I29" s="79" t="str">
        <f>IF(ISNUMBER(H29),(H29-RaysafeData!C29)/RaysafeData!C29,"")</f>
        <v/>
      </c>
      <c r="J29" s="392" t="str">
        <f t="shared" si="0"/>
        <v/>
      </c>
      <c r="K29" s="80"/>
      <c r="L29" s="90"/>
      <c r="M29" s="77" t="str">
        <f>IF(ISBLANK(H22),"",H22)</f>
        <v/>
      </c>
      <c r="N29" s="64"/>
      <c r="O29" s="77" t="str">
        <f>IF(ISBLANK(H40),"",H40)</f>
        <v/>
      </c>
      <c r="P29" s="80"/>
      <c r="Q29" s="77" t="str">
        <f>IF(ISBLANK(RaysafeData!O29),"",(RaysafeData!O29*1000))</f>
        <v/>
      </c>
      <c r="R29" s="79" t="str">
        <f t="shared" si="1"/>
        <v/>
      </c>
      <c r="S29" s="392" t="str">
        <f t="shared" si="14"/>
        <v/>
      </c>
      <c r="Z29" s="77" t="str">
        <f>IF(ISBLANK(RaysafeData!Y29),"",(RaysafeData!Y29))</f>
        <v/>
      </c>
      <c r="AA29" s="292"/>
      <c r="AC29" s="85" t="e">
        <f>IF(AQ9="","",AVERAGE(RaysafeData!AQ27:AQ32,RaysafeData!AQ9:AQ14))</f>
        <v>#DIV/0!</v>
      </c>
      <c r="AD29" s="82"/>
      <c r="AF29" s="85" t="str">
        <f>IF(ISBLANK(RaysafeData!K29),"",1000*RaysafeData!K29/(RaysafeData!F29*RaysafeData!O29))</f>
        <v/>
      </c>
      <c r="AG29" s="86"/>
      <c r="AH29" s="90"/>
      <c r="AI29" s="85" t="str">
        <f>IF(ISBLANK(AF11),"",AF11)</f>
        <v/>
      </c>
      <c r="AJ29" s="85" t="str">
        <f>IF(ISBLANK(AF29),"",AF29)</f>
        <v/>
      </c>
      <c r="AK29" s="87"/>
      <c r="AM29" s="69"/>
      <c r="AN29" s="69"/>
      <c r="AO29" s="69"/>
      <c r="AP29" s="69"/>
      <c r="AQ29" s="69"/>
    </row>
    <row r="30" spans="1:43" x14ac:dyDescent="0.2">
      <c r="A30" s="76" t="str">
        <f>IF(ISBLANK(RaysafeData!B30),"",(RaysafeData!B30))</f>
        <v/>
      </c>
      <c r="B30" s="76">
        <f>IF(ISBLANK(RaysafeData!C30),"",(RaysafeData!C30))</f>
        <v>81</v>
      </c>
      <c r="C30" s="76" t="str">
        <f>IF(ISBLANK(RaysafeData!D30),"",(RaysafeData!D30))</f>
        <v>GF</v>
      </c>
      <c r="D30" s="76">
        <f>IF(ISBLANK(RaysafeData!E30),"",(RaysafeData!E30))</f>
        <v>50</v>
      </c>
      <c r="E30" s="76">
        <f>IF(ISBLANK(RaysafeData!F30),"",(RaysafeData!F30))</f>
        <v>200</v>
      </c>
      <c r="F30" s="77">
        <f>IF(ISBLANK(RaysafeData!G30),"",(RaysafeData!G30))</f>
        <v>10</v>
      </c>
      <c r="G30" s="78"/>
      <c r="H30" s="77" t="str">
        <f>IF(ISBLANK(RaysafeData!I30),"",(RaysafeData!I30))</f>
        <v/>
      </c>
      <c r="I30" s="79" t="str">
        <f>IF(ISNUMBER(H30),(H30-RaysafeData!C30)/RaysafeData!C30,"")</f>
        <v/>
      </c>
      <c r="J30" s="392" t="str">
        <f t="shared" si="0"/>
        <v/>
      </c>
      <c r="K30" s="80"/>
      <c r="L30" s="90"/>
      <c r="M30" s="77" t="str">
        <f t="shared" ref="M30:M31" si="15">IF(ISBLANK(H23),"",H23)</f>
        <v/>
      </c>
      <c r="N30" s="64"/>
      <c r="O30" s="77" t="str">
        <f t="shared" ref="O30:O32" si="16">IF(ISBLANK(H41),"",H41)</f>
        <v/>
      </c>
      <c r="P30" s="80"/>
      <c r="Q30" s="77" t="str">
        <f>IF(ISBLANK(RaysafeData!O30),"",(RaysafeData!O30*1000))</f>
        <v/>
      </c>
      <c r="R30" s="79" t="str">
        <f t="shared" si="1"/>
        <v/>
      </c>
      <c r="S30" s="392" t="str">
        <f t="shared" si="14"/>
        <v/>
      </c>
      <c r="U30" s="447" t="s">
        <v>254</v>
      </c>
      <c r="V30" s="448"/>
      <c r="W30" s="448"/>
      <c r="X30" s="449"/>
      <c r="Z30" s="77" t="str">
        <f>IF(ISBLANK(RaysafeData!Y30),"",(RaysafeData!Y30))</f>
        <v/>
      </c>
      <c r="AA30" s="292"/>
      <c r="AC30" s="603" t="s">
        <v>368</v>
      </c>
      <c r="AD30" s="98"/>
      <c r="AF30" s="85" t="str">
        <f>IF(ISBLANK(RaysafeData!K30),"",1000*RaysafeData!K30/(RaysafeData!F30*RaysafeData!O30))</f>
        <v/>
      </c>
      <c r="AG30" s="86"/>
      <c r="AH30" s="90"/>
      <c r="AI30" s="85" t="str">
        <f>IF(ISBLANK(AF18),"",AF18)</f>
        <v/>
      </c>
      <c r="AJ30" s="85" t="str">
        <f>IF(ISBLANK(AF36),"",AF36)</f>
        <v/>
      </c>
      <c r="AK30" s="87"/>
      <c r="AM30" s="69"/>
      <c r="AN30" s="69"/>
      <c r="AO30" s="69"/>
      <c r="AP30" s="69"/>
      <c r="AQ30" s="69"/>
    </row>
    <row r="31" spans="1:43" x14ac:dyDescent="0.2">
      <c r="A31" s="76" t="str">
        <f>IF(ISBLANK(RaysafeData!B31),"",(RaysafeData!B31))</f>
        <v/>
      </c>
      <c r="B31" s="76">
        <f>IF(ISBLANK(RaysafeData!C31),"",(RaysafeData!C31))</f>
        <v>81</v>
      </c>
      <c r="C31" s="76" t="str">
        <f>IF(ISBLANK(RaysafeData!D31),"",(RaysafeData!D31))</f>
        <v>GF</v>
      </c>
      <c r="D31" s="76">
        <f>IF(ISBLANK(RaysafeData!E31),"",(RaysafeData!E31))</f>
        <v>50</v>
      </c>
      <c r="E31" s="76">
        <f>IF(ISBLANK(RaysafeData!F31),"",(RaysafeData!F31))</f>
        <v>200</v>
      </c>
      <c r="F31" s="77">
        <f>IF(ISBLANK(RaysafeData!G31),"",(RaysafeData!G31))</f>
        <v>10</v>
      </c>
      <c r="G31" s="78"/>
      <c r="H31" s="77" t="str">
        <f>IF(ISBLANK(RaysafeData!I31),"",(RaysafeData!I31))</f>
        <v/>
      </c>
      <c r="I31" s="79" t="str">
        <f>IF(ISNUMBER(H31),(H31-RaysafeData!C31)/RaysafeData!C31,"")</f>
        <v/>
      </c>
      <c r="J31" s="392" t="str">
        <f t="shared" si="0"/>
        <v/>
      </c>
      <c r="K31" s="80"/>
      <c r="L31" s="90"/>
      <c r="M31" s="77" t="str">
        <f t="shared" si="15"/>
        <v/>
      </c>
      <c r="N31" s="64"/>
      <c r="O31" s="77" t="str">
        <f t="shared" si="16"/>
        <v/>
      </c>
      <c r="P31" s="80"/>
      <c r="Q31" s="77" t="str">
        <f>IF(ISBLANK(RaysafeData!O31),"",(RaysafeData!O31*1000))</f>
        <v/>
      </c>
      <c r="R31" s="79" t="str">
        <f t="shared" si="1"/>
        <v/>
      </c>
      <c r="S31" s="392" t="str">
        <f t="shared" si="14"/>
        <v/>
      </c>
      <c r="U31" s="450"/>
      <c r="V31" s="435"/>
      <c r="W31" s="435"/>
      <c r="X31" s="451"/>
      <c r="Z31" s="77" t="str">
        <f>IF(ISBLANK(RaysafeData!Y31),"",(RaysafeData!Y31))</f>
        <v/>
      </c>
      <c r="AA31" s="292"/>
      <c r="AF31" s="85" t="str">
        <f>IF(ISBLANK(RaysafeData!K31),"",1000*RaysafeData!K31/(RaysafeData!F31*RaysafeData!O31))</f>
        <v/>
      </c>
      <c r="AG31" s="86"/>
      <c r="AH31" s="90"/>
      <c r="AI31" s="85" t="str">
        <f t="shared" ref="AI31:AI33" si="17">IF(ISBLANK(AF19),"",AF19)</f>
        <v/>
      </c>
      <c r="AJ31" s="85" t="str">
        <f t="shared" ref="AJ31:AJ33" si="18">IF(ISBLANK(AF37),"",AF37)</f>
        <v/>
      </c>
      <c r="AK31" s="87"/>
    </row>
    <row r="32" spans="1:43" x14ac:dyDescent="0.2">
      <c r="A32" s="76" t="str">
        <f>IF(ISBLANK(RaysafeData!B32),"",(RaysafeData!B32))</f>
        <v/>
      </c>
      <c r="B32" s="76">
        <f>IF(ISBLANK(RaysafeData!C32),"",(RaysafeData!C32))</f>
        <v>81</v>
      </c>
      <c r="C32" s="76" t="str">
        <f>IF(ISBLANK(RaysafeData!D32),"",(RaysafeData!D32))</f>
        <v>GF</v>
      </c>
      <c r="D32" s="76">
        <f>IF(ISBLANK(RaysafeData!E32),"",(RaysafeData!E32))</f>
        <v>50</v>
      </c>
      <c r="E32" s="76">
        <f>IF(ISBLANK(RaysafeData!F32),"",(RaysafeData!F32))</f>
        <v>200</v>
      </c>
      <c r="F32" s="77">
        <f>IF(ISBLANK(RaysafeData!G32),"",(RaysafeData!G32))</f>
        <v>10</v>
      </c>
      <c r="G32" s="78"/>
      <c r="H32" s="77" t="str">
        <f>IF(ISBLANK(RaysafeData!I32),"",(RaysafeData!I32))</f>
        <v/>
      </c>
      <c r="I32" s="79" t="str">
        <f>IF(ISNUMBER(H32),(H32-RaysafeData!C32)/RaysafeData!C32,"")</f>
        <v/>
      </c>
      <c r="J32" s="392" t="str">
        <f t="shared" si="0"/>
        <v/>
      </c>
      <c r="K32" s="80"/>
      <c r="L32" s="90"/>
      <c r="M32" s="91"/>
      <c r="N32" s="64"/>
      <c r="O32" s="77" t="str">
        <f t="shared" si="16"/>
        <v/>
      </c>
      <c r="P32" s="80"/>
      <c r="Q32" s="77" t="str">
        <f>IF(ISBLANK(RaysafeData!O32),"",(RaysafeData!O32*1000))</f>
        <v/>
      </c>
      <c r="R32" s="79" t="str">
        <f t="shared" si="1"/>
        <v/>
      </c>
      <c r="S32" s="392" t="str">
        <f t="shared" si="14"/>
        <v/>
      </c>
      <c r="U32" s="450"/>
      <c r="V32" s="435"/>
      <c r="W32" s="435"/>
      <c r="X32" s="451"/>
      <c r="Z32" s="77" t="str">
        <f>IF(ISBLANK(RaysafeData!Y32),"",(RaysafeData!Y32))</f>
        <v/>
      </c>
      <c r="AA32" s="292"/>
      <c r="AF32" s="85" t="str">
        <f>IF(ISBLANK(RaysafeData!K32),"",1000*RaysafeData!K32/(RaysafeData!F32*RaysafeData!O32))</f>
        <v/>
      </c>
      <c r="AG32" s="86"/>
      <c r="AH32" s="90"/>
      <c r="AI32" s="85" t="str">
        <f t="shared" si="17"/>
        <v/>
      </c>
      <c r="AJ32" s="85" t="str">
        <f t="shared" si="18"/>
        <v/>
      </c>
      <c r="AK32" s="87"/>
    </row>
    <row r="33" spans="1:46" x14ac:dyDescent="0.2">
      <c r="A33" s="76" t="str">
        <f>IF(ISBLANK(RaysafeData!B33),"",(RaysafeData!B33))</f>
        <v/>
      </c>
      <c r="B33" s="76">
        <f>IF(ISBLANK(RaysafeData!C33),"",(RaysafeData!C33))</f>
        <v>90</v>
      </c>
      <c r="C33" s="76" t="str">
        <f>IF(ISBLANK(RaysafeData!D33),"",(RaysafeData!D33))</f>
        <v>GF</v>
      </c>
      <c r="D33" s="76">
        <f>IF(ISBLANK(RaysafeData!E33),"",(RaysafeData!E33))</f>
        <v>50</v>
      </c>
      <c r="E33" s="76">
        <f>IF(ISBLANK(RaysafeData!F33),"",(RaysafeData!F33))</f>
        <v>200</v>
      </c>
      <c r="F33" s="77">
        <f>IF(ISBLANK(RaysafeData!G33),"",(RaysafeData!G33))</f>
        <v>10</v>
      </c>
      <c r="G33" s="78"/>
      <c r="H33" s="77" t="str">
        <f>IF(ISBLANK(RaysafeData!I33),"",(RaysafeData!I33))</f>
        <v/>
      </c>
      <c r="I33" s="79" t="str">
        <f>IF(ISNUMBER(H33),(H33-RaysafeData!C33)/RaysafeData!C33,"")</f>
        <v/>
      </c>
      <c r="J33" s="392" t="str">
        <f t="shared" si="0"/>
        <v/>
      </c>
      <c r="K33" s="80"/>
      <c r="L33" s="238" t="s">
        <v>178</v>
      </c>
      <c r="M33" s="91" t="str">
        <f>IF((COUNTIF(M29:M31,""))&gt;0,"",AVERAGEA(M29:M31))</f>
        <v/>
      </c>
      <c r="N33" s="62" t="s">
        <v>178</v>
      </c>
      <c r="O33" s="92" t="str">
        <f>IF((COUNTIF(O29:O32,""))&gt;0,"",AVERAGEA(O29:O32))</f>
        <v/>
      </c>
      <c r="P33" s="80"/>
      <c r="Q33" s="77" t="str">
        <f>IF(ISBLANK(RaysafeData!O33),"",(RaysafeData!O33*1000))</f>
        <v/>
      </c>
      <c r="R33" s="79" t="str">
        <f t="shared" si="1"/>
        <v/>
      </c>
      <c r="S33" s="392" t="str">
        <f t="shared" si="14"/>
        <v/>
      </c>
      <c r="U33" s="450"/>
      <c r="V33" s="435"/>
      <c r="W33" s="435"/>
      <c r="X33" s="451"/>
      <c r="Z33" s="77" t="str">
        <f>IF(ISBLANK(RaysafeData!Y33),"",(RaysafeData!Y33))</f>
        <v/>
      </c>
      <c r="AA33" s="292"/>
      <c r="AF33" s="85" t="str">
        <f>IF(ISBLANK(RaysafeData!K33),"",1000*RaysafeData!K33/(RaysafeData!F33*RaysafeData!O33))</f>
        <v/>
      </c>
      <c r="AG33" s="86"/>
      <c r="AH33" s="90"/>
      <c r="AI33" s="85" t="str">
        <f t="shared" si="17"/>
        <v/>
      </c>
      <c r="AJ33" s="85" t="str">
        <f t="shared" si="18"/>
        <v/>
      </c>
      <c r="AK33" s="87"/>
    </row>
    <row r="34" spans="1:46" x14ac:dyDescent="0.2">
      <c r="A34" s="76" t="str">
        <f>IF(ISBLANK(RaysafeData!B34),"",(RaysafeData!B34))</f>
        <v/>
      </c>
      <c r="B34" s="76">
        <f>IF(ISBLANK(RaysafeData!C34),"",(RaysafeData!C34))</f>
        <v>109</v>
      </c>
      <c r="C34" s="76" t="str">
        <f>IF(ISBLANK(RaysafeData!D34),"",(RaysafeData!D34))</f>
        <v>GF</v>
      </c>
      <c r="D34" s="76">
        <f>IF(ISBLANK(RaysafeData!E34),"",(RaysafeData!E34))</f>
        <v>50</v>
      </c>
      <c r="E34" s="76">
        <f>IF(ISBLANK(RaysafeData!F34),"",(RaysafeData!F34))</f>
        <v>200</v>
      </c>
      <c r="F34" s="77">
        <f>IF(ISBLANK(RaysafeData!G34),"",(RaysafeData!G34))</f>
        <v>10</v>
      </c>
      <c r="G34" s="78"/>
      <c r="H34" s="77" t="str">
        <f>IF(ISBLANK(RaysafeData!I34),"",(RaysafeData!I34))</f>
        <v/>
      </c>
      <c r="I34" s="79" t="str">
        <f>IF(ISNUMBER(H34),(H34-RaysafeData!C34)/RaysafeData!C34,"")</f>
        <v/>
      </c>
      <c r="J34" s="392" t="str">
        <f t="shared" si="0"/>
        <v/>
      </c>
      <c r="K34" s="80"/>
      <c r="L34" s="238" t="s">
        <v>179</v>
      </c>
      <c r="M34" s="86" t="str">
        <f>IF((COUNTIF(M29:M31,""))&gt;0,"",STDEVA(M29:M31))</f>
        <v/>
      </c>
      <c r="N34" s="62" t="s">
        <v>179</v>
      </c>
      <c r="O34" s="86" t="str">
        <f>IF((COUNTIF(O29:O32,""))&gt;0,"",STDEVA(O29:O32))</f>
        <v/>
      </c>
      <c r="P34" s="80"/>
      <c r="Q34" s="77" t="str">
        <f>IF(ISBLANK(RaysafeData!O34),"",(RaysafeData!O34*1000))</f>
        <v/>
      </c>
      <c r="R34" s="79" t="str">
        <f t="shared" si="1"/>
        <v/>
      </c>
      <c r="S34" s="392" t="str">
        <f t="shared" si="14"/>
        <v/>
      </c>
      <c r="U34" s="450"/>
      <c r="V34" s="435"/>
      <c r="W34" s="435"/>
      <c r="X34" s="451"/>
      <c r="Z34" s="77" t="str">
        <f>IF(ISBLANK(RaysafeData!Y34),"",(RaysafeData!Y34))</f>
        <v/>
      </c>
      <c r="AA34" s="292"/>
      <c r="AF34" s="85" t="str">
        <f>IF(ISBLANK(RaysafeData!K34),"",1000*RaysafeData!K34/(RaysafeData!F34*RaysafeData!O34))</f>
        <v/>
      </c>
      <c r="AG34" s="86"/>
      <c r="AH34" s="287" t="s">
        <v>198</v>
      </c>
      <c r="AI34" s="77" t="str">
        <f>IF((COUNTIF(AI29:AI33,""))&gt;0,"",AVERAGEA(AI29:AI33))</f>
        <v/>
      </c>
      <c r="AJ34" s="77" t="str">
        <f>IF((COUNTIF(AJ29:AJ33,""))&gt;0,"",AVERAGEA(AJ29:AJ33))</f>
        <v/>
      </c>
      <c r="AK34" s="89"/>
    </row>
    <row r="35" spans="1:46" x14ac:dyDescent="0.2">
      <c r="A35" s="76" t="str">
        <f>IF(ISBLANK(RaysafeData!B35),"",(RaysafeData!B35))</f>
        <v/>
      </c>
      <c r="B35" s="76">
        <f>IF(ISBLANK(RaysafeData!C35),"",(RaysafeData!C35))</f>
        <v>125</v>
      </c>
      <c r="C35" s="76" t="str">
        <f>IF(ISBLANK(RaysafeData!D35),"",(RaysafeData!D35))</f>
        <v>GF</v>
      </c>
      <c r="D35" s="76">
        <f>IF(ISBLANK(RaysafeData!E35),"",(RaysafeData!E35))</f>
        <v>50</v>
      </c>
      <c r="E35" s="76">
        <f>IF(ISBLANK(RaysafeData!F35),"",(RaysafeData!F35))</f>
        <v>200</v>
      </c>
      <c r="F35" s="77">
        <f>IF(ISBLANK(RaysafeData!G35),"",(RaysafeData!G35))</f>
        <v>10</v>
      </c>
      <c r="G35" s="78"/>
      <c r="H35" s="77" t="str">
        <f>IF(ISBLANK(RaysafeData!I35),"",(RaysafeData!I35))</f>
        <v/>
      </c>
      <c r="I35" s="79" t="str">
        <f>IF(ISNUMBER(H35),(H35-RaysafeData!C35)/RaysafeData!C35,"")</f>
        <v/>
      </c>
      <c r="J35" s="392" t="str">
        <f t="shared" si="0"/>
        <v/>
      </c>
      <c r="K35" s="80"/>
      <c r="L35" s="238" t="s">
        <v>180</v>
      </c>
      <c r="M35" s="284" t="str">
        <f>IF(M34="","",(M34/M33))</f>
        <v/>
      </c>
      <c r="N35" s="62" t="s">
        <v>180</v>
      </c>
      <c r="O35" s="288" t="str">
        <f>IF(O34="","",(O34/O33))</f>
        <v/>
      </c>
      <c r="P35" s="80"/>
      <c r="Q35" s="77" t="str">
        <f>IF(ISBLANK(RaysafeData!O35),"",(RaysafeData!O35*1000))</f>
        <v/>
      </c>
      <c r="R35" s="79" t="str">
        <f t="shared" si="1"/>
        <v/>
      </c>
      <c r="S35" s="392" t="str">
        <f t="shared" si="14"/>
        <v/>
      </c>
      <c r="U35" s="450"/>
      <c r="V35" s="435"/>
      <c r="W35" s="435"/>
      <c r="X35" s="451"/>
      <c r="Z35" s="77" t="str">
        <f>IF(ISBLANK(RaysafeData!Y35),"",(RaysafeData!Y35))</f>
        <v/>
      </c>
      <c r="AA35" s="292"/>
      <c r="AF35" s="85" t="str">
        <f>IF(ISBLANK(RaysafeData!K35),"",1000*RaysafeData!K35/(RaysafeData!F35*RaysafeData!O35))</f>
        <v/>
      </c>
      <c r="AG35" s="86"/>
      <c r="AH35" s="287" t="s">
        <v>199</v>
      </c>
      <c r="AI35" s="85" t="str">
        <f>IF((COUNTIF(AI29:AI33,""))&gt;0,"",STDEVA(AI29:AI33))</f>
        <v/>
      </c>
      <c r="AJ35" s="85" t="str">
        <f>IF((COUNTIF(AJ29:AJ33,""))&gt;0,"",STDEVA(AJ29:AJ33))</f>
        <v/>
      </c>
      <c r="AK35" s="288"/>
    </row>
    <row r="36" spans="1:46" x14ac:dyDescent="0.2">
      <c r="A36" s="76" t="str">
        <f>IF(ISBLANK(RaysafeData!B36),"",(RaysafeData!B36))</f>
        <v/>
      </c>
      <c r="B36" s="76">
        <f>IF(ISBLANK(RaysafeData!C36),"",(RaysafeData!C36))</f>
        <v>81</v>
      </c>
      <c r="C36" s="76" t="str">
        <f>IF(ISBLANK(RaysafeData!D36),"",(RaysafeData!D36))</f>
        <v>GF</v>
      </c>
      <c r="D36" s="76">
        <f>IF(ISBLANK(RaysafeData!E36),"",(RaysafeData!E36))</f>
        <v>400</v>
      </c>
      <c r="E36" s="76">
        <f>IF(ISBLANK(RaysafeData!F36),"",(RaysafeData!F36))</f>
        <v>200</v>
      </c>
      <c r="F36" s="77">
        <f>IF(ISBLANK(RaysafeData!G36),"",(RaysafeData!G36))</f>
        <v>80</v>
      </c>
      <c r="G36" s="78"/>
      <c r="H36" s="77" t="str">
        <f>IF(ISBLANK(RaysafeData!I36),"",(RaysafeData!I36))</f>
        <v/>
      </c>
      <c r="I36" s="79" t="str">
        <f>IF(ISNUMBER(H36),(H36-RaysafeData!C36)/RaysafeData!C36,"")</f>
        <v/>
      </c>
      <c r="J36" s="392" t="str">
        <f t="shared" si="0"/>
        <v/>
      </c>
      <c r="K36" s="80"/>
      <c r="L36" s="93"/>
      <c r="M36" s="296" t="str">
        <f>IF(M35="","",IF(M35&gt;M27,"Fail","Pass"))</f>
        <v/>
      </c>
      <c r="N36" s="70"/>
      <c r="O36" s="296" t="str">
        <f>IF(O35="","",IF(O35&gt;M27,"Fail","Pass"))</f>
        <v/>
      </c>
      <c r="P36" s="80"/>
      <c r="Q36" s="77" t="str">
        <f>IF(ISBLANK(RaysafeData!O36),"",(RaysafeData!O36*1000))</f>
        <v/>
      </c>
      <c r="R36" s="79" t="str">
        <f t="shared" si="1"/>
        <v/>
      </c>
      <c r="S36" s="392" t="str">
        <f>IF(Q36="","",(IF(ABS(R36)&gt;$R$5,"Fail","Pass")))</f>
        <v/>
      </c>
      <c r="U36" s="450"/>
      <c r="V36" s="435"/>
      <c r="W36" s="435"/>
      <c r="X36" s="451"/>
      <c r="Z36" s="77" t="str">
        <f>IF(ISBLANK(RaysafeData!Y36),"",(RaysafeData!Y36))</f>
        <v/>
      </c>
      <c r="AA36" s="292"/>
      <c r="AF36" s="85" t="str">
        <f>IF(ISBLANK(RaysafeData!K36),"",1000*RaysafeData!K36/(RaysafeData!F36*RaysafeData!O36))</f>
        <v/>
      </c>
      <c r="AG36" s="86"/>
      <c r="AH36" s="287" t="s">
        <v>34</v>
      </c>
      <c r="AI36" s="395" t="str">
        <f>IF(AI35="","",(AI35/AI34))</f>
        <v/>
      </c>
      <c r="AJ36" s="395" t="str">
        <f>IF(AJ35="","",(AJ35/AJ34))</f>
        <v/>
      </c>
      <c r="AK36" s="290"/>
    </row>
    <row r="37" spans="1:46" x14ac:dyDescent="0.2">
      <c r="A37" s="76" t="str">
        <f>IF(ISBLANK(RaysafeData!B37),"",(RaysafeData!B37))</f>
        <v/>
      </c>
      <c r="B37" s="76">
        <f>IF(ISBLANK(RaysafeData!C37),"",(RaysafeData!C37))</f>
        <v>81</v>
      </c>
      <c r="C37" s="76" t="str">
        <f>IF(ISBLANK(RaysafeData!D37),"",(RaysafeData!D37))</f>
        <v>GF</v>
      </c>
      <c r="D37" s="76">
        <f>IF(ISBLANK(RaysafeData!E37),"",(RaysafeData!E37))</f>
        <v>200</v>
      </c>
      <c r="E37" s="76">
        <f>IF(ISBLANK(RaysafeData!F37),"",(RaysafeData!F37))</f>
        <v>200</v>
      </c>
      <c r="F37" s="77">
        <f>IF(ISBLANK(RaysafeData!G37),"",(RaysafeData!G37))</f>
        <v>40</v>
      </c>
      <c r="G37" s="78"/>
      <c r="H37" s="77" t="str">
        <f>IF(ISBLANK(RaysafeData!I37),"",(RaysafeData!I37))</f>
        <v/>
      </c>
      <c r="I37" s="79" t="str">
        <f>IF(ISNUMBER(H37),(H37-RaysafeData!C37)/RaysafeData!C37,"")</f>
        <v/>
      </c>
      <c r="J37" s="392" t="str">
        <f t="shared" si="0"/>
        <v/>
      </c>
      <c r="K37" s="90"/>
      <c r="L37" s="64"/>
      <c r="M37" s="64"/>
      <c r="N37" s="64"/>
      <c r="O37" s="64"/>
      <c r="P37" s="82"/>
      <c r="Q37" s="77" t="str">
        <f>IF(ISBLANK(RaysafeData!O37),"",(RaysafeData!O37*1000))</f>
        <v/>
      </c>
      <c r="R37" s="79" t="str">
        <f t="shared" si="1"/>
        <v/>
      </c>
      <c r="S37" s="392" t="str">
        <f t="shared" ref="S37:S43" si="19">IF(Q37="","",(IF(ABS(R37)&gt;$R$5,"Fail","Pass")))</f>
        <v/>
      </c>
      <c r="U37" s="450"/>
      <c r="V37" s="435"/>
      <c r="W37" s="435"/>
      <c r="X37" s="451"/>
      <c r="Z37" s="77" t="str">
        <f>IF(ISBLANK(RaysafeData!Y37),"",(RaysafeData!Y37))</f>
        <v/>
      </c>
      <c r="AA37" s="292"/>
      <c r="AF37" s="85" t="str">
        <f>IF(ISBLANK(RaysafeData!K37),"",1000*RaysafeData!K37/(RaysafeData!F37*RaysafeData!O37))</f>
        <v/>
      </c>
      <c r="AG37" s="86"/>
      <c r="AH37" s="96"/>
      <c r="AI37" s="296" t="str">
        <f>IF(AI36="","",IF(AI36&gt;$AH$5,"Fail","Pass"))</f>
        <v/>
      </c>
      <c r="AJ37" s="296" t="str">
        <f>IF(AJ36="","",IF(AJ36&gt;$AH$5,"Fail","Pass"))</f>
        <v/>
      </c>
      <c r="AK37" s="98"/>
    </row>
    <row r="38" spans="1:46" x14ac:dyDescent="0.2">
      <c r="A38" s="76" t="str">
        <f>IF(ISBLANK(RaysafeData!B38),"",(RaysafeData!B38))</f>
        <v/>
      </c>
      <c r="B38" s="76">
        <f>IF(ISBLANK(RaysafeData!C38),"",(RaysafeData!C38))</f>
        <v>81</v>
      </c>
      <c r="C38" s="76" t="str">
        <f>IF(ISBLANK(RaysafeData!D38),"",(RaysafeData!D38))</f>
        <v>GF</v>
      </c>
      <c r="D38" s="76">
        <f>IF(ISBLANK(RaysafeData!E38),"",(RaysafeData!E38))</f>
        <v>100</v>
      </c>
      <c r="E38" s="76">
        <f>IF(ISBLANK(RaysafeData!F38),"",(RaysafeData!F38))</f>
        <v>200</v>
      </c>
      <c r="F38" s="77">
        <f>IF(ISBLANK(RaysafeData!G38),"",(RaysafeData!G38))</f>
        <v>20</v>
      </c>
      <c r="G38" s="78"/>
      <c r="H38" s="77" t="str">
        <f>IF(ISBLANK(RaysafeData!I38),"",(RaysafeData!I38))</f>
        <v/>
      </c>
      <c r="I38" s="79" t="str">
        <f>IF(ISNUMBER(H38),(H38-RaysafeData!C38)/RaysafeData!C38,"")</f>
        <v/>
      </c>
      <c r="J38" s="392" t="str">
        <f t="shared" si="0"/>
        <v/>
      </c>
      <c r="K38" s="90"/>
      <c r="L38" s="64"/>
      <c r="M38" s="64"/>
      <c r="N38" s="64"/>
      <c r="O38" s="64"/>
      <c r="P38" s="82"/>
      <c r="Q38" s="77" t="str">
        <f>IF(ISBLANK(RaysafeData!O38),"",(RaysafeData!O38*1000))</f>
        <v/>
      </c>
      <c r="R38" s="79" t="str">
        <f t="shared" si="1"/>
        <v/>
      </c>
      <c r="S38" s="392" t="str">
        <f t="shared" si="19"/>
        <v/>
      </c>
      <c r="U38" s="450"/>
      <c r="V38" s="435"/>
      <c r="W38" s="435"/>
      <c r="X38" s="451"/>
      <c r="Z38" s="77" t="str">
        <f>IF(ISBLANK(RaysafeData!Y38),"",(RaysafeData!Y38))</f>
        <v/>
      </c>
      <c r="AA38" s="292"/>
      <c r="AF38" s="85" t="str">
        <f>IF(ISBLANK(RaysafeData!K38),"",1000*RaysafeData!K38/(RaysafeData!F38*RaysafeData!O38))</f>
        <v/>
      </c>
      <c r="AG38" s="86"/>
      <c r="AM38" s="671"/>
      <c r="AN38" s="671"/>
      <c r="AO38" s="671"/>
    </row>
    <row r="39" spans="1:46" x14ac:dyDescent="0.2">
      <c r="A39" s="76" t="str">
        <f>IF(ISBLANK(RaysafeData!B39),"",(RaysafeData!B39))</f>
        <v/>
      </c>
      <c r="B39" s="76">
        <f>IF(ISBLANK(RaysafeData!C39),"",(RaysafeData!C39))</f>
        <v>81</v>
      </c>
      <c r="C39" s="76" t="str">
        <f>IF(ISBLANK(RaysafeData!D39),"",(RaysafeData!D39))</f>
        <v>GF</v>
      </c>
      <c r="D39" s="76">
        <f>IF(ISBLANK(RaysafeData!E39),"",(RaysafeData!E39))</f>
        <v>32</v>
      </c>
      <c r="E39" s="76">
        <f>IF(ISBLANK(RaysafeData!F39),"",(RaysafeData!F39))</f>
        <v>200</v>
      </c>
      <c r="F39" s="77">
        <f>IF(ISBLANK(RaysafeData!G39),"",(RaysafeData!G39))</f>
        <v>6.4</v>
      </c>
      <c r="G39" s="78"/>
      <c r="H39" s="77" t="str">
        <f>IF(ISBLANK(RaysafeData!I39),"",(RaysafeData!I39))</f>
        <v/>
      </c>
      <c r="I39" s="79" t="str">
        <f>IF(ISNUMBER(H39),(H39-RaysafeData!C39)/RaysafeData!C39,"")</f>
        <v/>
      </c>
      <c r="J39" s="392" t="str">
        <f t="shared" si="0"/>
        <v/>
      </c>
      <c r="K39" s="90"/>
      <c r="L39" s="64"/>
      <c r="M39" s="64"/>
      <c r="N39" s="64"/>
      <c r="O39" s="64"/>
      <c r="P39" s="82"/>
      <c r="Q39" s="77" t="str">
        <f>IF(ISBLANK(RaysafeData!O39),"",(RaysafeData!O39*1000))</f>
        <v/>
      </c>
      <c r="R39" s="79" t="str">
        <f t="shared" si="1"/>
        <v/>
      </c>
      <c r="S39" s="392" t="str">
        <f t="shared" si="19"/>
        <v/>
      </c>
      <c r="U39" s="450"/>
      <c r="V39" s="435"/>
      <c r="W39" s="435"/>
      <c r="X39" s="451"/>
      <c r="Z39" s="77" t="str">
        <f>IF(ISBLANK(RaysafeData!Y39),"",(RaysafeData!Y39))</f>
        <v/>
      </c>
      <c r="AA39" s="292"/>
      <c r="AF39" s="85" t="str">
        <f>IF(ISBLANK(RaysafeData!K39),"",1000*RaysafeData!K39/(RaysafeData!F39*RaysafeData!O39))</f>
        <v/>
      </c>
      <c r="AG39" s="86"/>
      <c r="AH39" s="291"/>
      <c r="AI39" s="292"/>
      <c r="AJ39" s="292"/>
      <c r="AK39" s="292"/>
      <c r="AL39" s="100"/>
      <c r="AM39" s="671"/>
      <c r="AN39" s="671"/>
      <c r="AO39" s="671"/>
    </row>
    <row r="40" spans="1:46" x14ac:dyDescent="0.2">
      <c r="A40" s="76" t="str">
        <f>IF(ISBLANK(RaysafeData!B40),"",(RaysafeData!B40))</f>
        <v/>
      </c>
      <c r="B40" s="76">
        <f>IF(ISBLANK(RaysafeData!C40),"",(RaysafeData!C40))</f>
        <v>81</v>
      </c>
      <c r="C40" s="76" t="str">
        <f>IF(ISBLANK(RaysafeData!D40),"",(RaysafeData!D40))</f>
        <v>GF</v>
      </c>
      <c r="D40" s="76">
        <f>IF(ISBLANK(RaysafeData!E40),"",(RaysafeData!E40))</f>
        <v>50</v>
      </c>
      <c r="E40" s="76">
        <f>IF(ISBLANK(RaysafeData!F40),"",(RaysafeData!F40))</f>
        <v>50</v>
      </c>
      <c r="F40" s="77">
        <f>IF(ISBLANK(RaysafeData!G40),"",(RaysafeData!G40))</f>
        <v>2.5</v>
      </c>
      <c r="G40" s="78"/>
      <c r="H40" s="77" t="str">
        <f>IF(ISBLANK(RaysafeData!I40),"",(RaysafeData!I40))</f>
        <v/>
      </c>
      <c r="I40" s="79" t="str">
        <f>IF(ISNUMBER(H40),(H40-RaysafeData!C40)/RaysafeData!C40,"")</f>
        <v/>
      </c>
      <c r="J40" s="392" t="str">
        <f t="shared" si="0"/>
        <v/>
      </c>
      <c r="K40" s="90"/>
      <c r="L40" s="64"/>
      <c r="M40" s="64"/>
      <c r="N40" s="64"/>
      <c r="O40" s="64"/>
      <c r="P40" s="82"/>
      <c r="Q40" s="77" t="str">
        <f>IF(ISBLANK(RaysafeData!O40),"",(RaysafeData!O40*1000))</f>
        <v/>
      </c>
      <c r="R40" s="79" t="str">
        <f t="shared" si="1"/>
        <v/>
      </c>
      <c r="S40" s="392" t="str">
        <f t="shared" si="19"/>
        <v/>
      </c>
      <c r="U40" s="450"/>
      <c r="V40" s="435"/>
      <c r="W40" s="435"/>
      <c r="X40" s="451"/>
      <c r="Z40" s="77" t="str">
        <f>IF(ISBLANK(RaysafeData!Y40),"",(RaysafeData!Y40))</f>
        <v/>
      </c>
      <c r="AA40" s="292"/>
      <c r="AF40" s="85" t="str">
        <f>IF(ISBLANK(RaysafeData!K40),"",1000*RaysafeData!K40/(RaysafeData!F40*RaysafeData!O40))</f>
        <v/>
      </c>
      <c r="AG40" s="86"/>
      <c r="AH40" s="291"/>
      <c r="AI40" s="293"/>
      <c r="AJ40" s="166"/>
      <c r="AK40" s="166"/>
      <c r="AM40" s="671"/>
      <c r="AN40" s="671"/>
      <c r="AO40" s="671"/>
    </row>
    <row r="41" spans="1:46" x14ac:dyDescent="0.2">
      <c r="A41" s="76" t="str">
        <f>IF(ISBLANK(RaysafeData!B41),"",(RaysafeData!B41))</f>
        <v/>
      </c>
      <c r="B41" s="76">
        <f>IF(ISBLANK(RaysafeData!C41),"",(RaysafeData!C41))</f>
        <v>81</v>
      </c>
      <c r="C41" s="76" t="str">
        <f>IF(ISBLANK(RaysafeData!D41),"",(RaysafeData!D41))</f>
        <v>GF</v>
      </c>
      <c r="D41" s="76">
        <f>IF(ISBLANK(RaysafeData!E41),"",(RaysafeData!E41))</f>
        <v>50</v>
      </c>
      <c r="E41" s="76">
        <f>IF(ISBLANK(RaysafeData!F41),"",(RaysafeData!F41))</f>
        <v>100</v>
      </c>
      <c r="F41" s="77">
        <f>IF(ISBLANK(RaysafeData!G41),"",(RaysafeData!G41))</f>
        <v>5</v>
      </c>
      <c r="G41" s="78"/>
      <c r="H41" s="77" t="str">
        <f>IF(ISBLANK(RaysafeData!I41),"",(RaysafeData!I41))</f>
        <v/>
      </c>
      <c r="I41" s="79" t="str">
        <f>IF(ISNUMBER(H41),(H41-RaysafeData!C41)/RaysafeData!C41,"")</f>
        <v/>
      </c>
      <c r="J41" s="392" t="str">
        <f t="shared" si="0"/>
        <v/>
      </c>
      <c r="K41" s="90"/>
      <c r="L41" s="64"/>
      <c r="M41" s="64"/>
      <c r="N41" s="64"/>
      <c r="O41" s="64"/>
      <c r="P41" s="82"/>
      <c r="Q41" s="77" t="str">
        <f>IF(ISBLANK(RaysafeData!O41),"",(RaysafeData!O41*1000))</f>
        <v/>
      </c>
      <c r="R41" s="79" t="str">
        <f t="shared" si="1"/>
        <v/>
      </c>
      <c r="S41" s="392" t="str">
        <f t="shared" si="19"/>
        <v/>
      </c>
      <c r="U41" s="450"/>
      <c r="V41" s="435"/>
      <c r="W41" s="435"/>
      <c r="X41" s="451"/>
      <c r="Z41" s="77" t="str">
        <f>IF(ISBLANK(RaysafeData!Y41),"",(RaysafeData!Y41))</f>
        <v/>
      </c>
      <c r="AA41" s="292"/>
      <c r="AF41" s="85" t="str">
        <f>IF(ISBLANK(RaysafeData!K41),"",1000*RaysafeData!K41/(RaysafeData!F41*RaysafeData!O41))</f>
        <v/>
      </c>
      <c r="AG41" s="86"/>
      <c r="AH41" s="289"/>
      <c r="AI41" s="293"/>
      <c r="AJ41" s="166"/>
      <c r="AK41" s="166"/>
      <c r="AM41" s="671"/>
      <c r="AN41" s="671"/>
      <c r="AO41" s="671"/>
    </row>
    <row r="42" spans="1:46" ht="12" thickBot="1" x14ac:dyDescent="0.25">
      <c r="A42" s="76" t="str">
        <f>IF(ISBLANK(RaysafeData!B42),"",(RaysafeData!B42))</f>
        <v/>
      </c>
      <c r="B42" s="76">
        <f>IF(ISBLANK(RaysafeData!C42),"",(RaysafeData!C42))</f>
        <v>81</v>
      </c>
      <c r="C42" s="76" t="str">
        <f>IF(ISBLANK(RaysafeData!D42),"",(RaysafeData!D42))</f>
        <v>GF</v>
      </c>
      <c r="D42" s="76">
        <f>IF(ISBLANK(RaysafeData!E42),"",(RaysafeData!E42))</f>
        <v>50</v>
      </c>
      <c r="E42" s="76">
        <f>IF(ISBLANK(RaysafeData!F42),"",(RaysafeData!F42))</f>
        <v>250</v>
      </c>
      <c r="F42" s="77">
        <f>IF(ISBLANK(RaysafeData!G42),"",(RaysafeData!G42))</f>
        <v>12.5</v>
      </c>
      <c r="G42" s="195"/>
      <c r="H42" s="77" t="str">
        <f>IF(ISBLANK(RaysafeData!I42),"",(RaysafeData!I42))</f>
        <v/>
      </c>
      <c r="I42" s="79" t="str">
        <f>IF(ISNUMBER(H42),(H42-RaysafeData!C42)/RaysafeData!C42,"")</f>
        <v/>
      </c>
      <c r="J42" s="392" t="str">
        <f t="shared" si="0"/>
        <v/>
      </c>
      <c r="K42" s="64"/>
      <c r="L42" s="64"/>
      <c r="M42" s="64"/>
      <c r="N42" s="64"/>
      <c r="O42" s="64"/>
      <c r="P42" s="64"/>
      <c r="Q42" s="77" t="str">
        <f>IF(ISBLANK(RaysafeData!O42),"",(RaysafeData!O42*1000))</f>
        <v/>
      </c>
      <c r="R42" s="79" t="str">
        <f t="shared" si="1"/>
        <v/>
      </c>
      <c r="S42" s="392" t="str">
        <f t="shared" si="19"/>
        <v/>
      </c>
      <c r="U42" s="452"/>
      <c r="V42" s="453"/>
      <c r="W42" s="453"/>
      <c r="X42" s="454"/>
      <c r="Z42" s="77" t="str">
        <f>IF(ISBLANK(RaysafeData!Y42),"",(RaysafeData!Y42))</f>
        <v/>
      </c>
      <c r="AA42" s="292"/>
      <c r="AF42" s="85" t="str">
        <f>IF(ISBLANK(RaysafeData!K42),"",1000*RaysafeData!K42/(RaysafeData!F42*RaysafeData!O42))</f>
        <v/>
      </c>
      <c r="AG42" s="86"/>
      <c r="AH42" s="289"/>
      <c r="AI42" s="293"/>
      <c r="AJ42" s="284"/>
      <c r="AK42" s="284"/>
    </row>
    <row r="43" spans="1:46" s="105" customFormat="1" ht="12" thickBot="1" x14ac:dyDescent="0.25">
      <c r="A43" s="101" t="str">
        <f>IF(ISBLANK(RaysafeData!B43),"",(RaysafeData!B43))</f>
        <v/>
      </c>
      <c r="B43" s="101">
        <f>IF(ISBLANK(RaysafeData!C43),"",(RaysafeData!C43))</f>
        <v>81</v>
      </c>
      <c r="C43" s="101" t="str">
        <f>IF(ISBLANK(RaysafeData!D43),"",(RaysafeData!D43))</f>
        <v>GF</v>
      </c>
      <c r="D43" s="101">
        <f>IF(ISBLANK(RaysafeData!E43),"",(RaysafeData!E43))</f>
        <v>50</v>
      </c>
      <c r="E43" s="101">
        <f>IF(ISBLANK(RaysafeData!F43),"",(RaysafeData!F43))</f>
        <v>400</v>
      </c>
      <c r="F43" s="102">
        <f>IF(ISBLANK(RaysafeData!G43),"",(RaysafeData!G43))</f>
        <v>20</v>
      </c>
      <c r="G43" s="103"/>
      <c r="H43" s="102" t="str">
        <f>IF(ISBLANK(RaysafeData!I43),"",(RaysafeData!I43))</f>
        <v/>
      </c>
      <c r="I43" s="104" t="str">
        <f>IF(ISNUMBER(H43),(H43-RaysafeData!C43)/RaysafeData!C43,"")</f>
        <v/>
      </c>
      <c r="J43" s="443" t="str">
        <f t="shared" si="0"/>
        <v/>
      </c>
      <c r="Q43" s="102" t="str">
        <f>IF(ISBLANK(RaysafeData!O43),"",(RaysafeData!O43*1000))</f>
        <v/>
      </c>
      <c r="R43" s="104" t="str">
        <f t="shared" si="1"/>
        <v/>
      </c>
      <c r="S43" s="443" t="str">
        <f t="shared" si="19"/>
        <v/>
      </c>
      <c r="Z43" s="102" t="str">
        <f>IF(ISBLANK(RaysafeData!Y43),"",(RaysafeData!Y43))</f>
        <v/>
      </c>
      <c r="AA43" s="298"/>
      <c r="AF43" s="106" t="str">
        <f>IF(ISBLANK(RaysafeData!K43),"",1000*RaysafeData!K43/(RaysafeData!F43*RaysafeData!O43))</f>
        <v/>
      </c>
      <c r="AG43" s="107"/>
      <c r="AH43" s="294"/>
      <c r="AI43" s="170"/>
      <c r="AJ43" s="295"/>
      <c r="AK43" s="295"/>
    </row>
    <row r="44" spans="1:46" ht="13.5" thickBot="1" x14ac:dyDescent="0.25">
      <c r="A44" s="108"/>
      <c r="B44" s="444" t="s">
        <v>250</v>
      </c>
      <c r="C44" s="445" t="s">
        <v>251</v>
      </c>
      <c r="D44" s="446"/>
      <c r="E44" s="446"/>
      <c r="F44" s="195"/>
      <c r="G44" s="195"/>
      <c r="AH44" s="291"/>
      <c r="AI44" s="293"/>
      <c r="AJ44" s="166"/>
      <c r="AK44" s="166"/>
    </row>
    <row r="45" spans="1:46" ht="12.75" x14ac:dyDescent="0.2">
      <c r="A45" s="109"/>
      <c r="B45" s="70" t="s">
        <v>55</v>
      </c>
      <c r="C45" s="70" t="s">
        <v>98</v>
      </c>
      <c r="D45" s="70" t="s">
        <v>85</v>
      </c>
      <c r="E45" s="70" t="s">
        <v>77</v>
      </c>
      <c r="F45" s="195" t="s">
        <v>53</v>
      </c>
      <c r="G45" s="110"/>
      <c r="H45" s="519" t="s">
        <v>52</v>
      </c>
      <c r="I45" s="63" t="s">
        <v>207</v>
      </c>
      <c r="J45" s="63"/>
      <c r="K45" s="99"/>
      <c r="L45" s="99"/>
      <c r="M45" s="99"/>
      <c r="N45" s="258" t="s">
        <v>210</v>
      </c>
      <c r="O45" s="701"/>
      <c r="P45" s="701"/>
      <c r="Q45" s="701"/>
      <c r="R45" s="701"/>
      <c r="S45" s="464"/>
      <c r="T45" s="292"/>
      <c r="U45" s="292"/>
      <c r="V45" s="292"/>
      <c r="W45" s="292"/>
      <c r="X45" s="292"/>
      <c r="AA45" s="431" t="s">
        <v>255</v>
      </c>
      <c r="AB45" s="432"/>
      <c r="AC45" s="432"/>
      <c r="AD45" s="432"/>
      <c r="AE45" s="433"/>
      <c r="AH45" s="790" t="s">
        <v>398</v>
      </c>
      <c r="AI45" s="791"/>
      <c r="AJ45" s="791"/>
      <c r="AK45" s="791"/>
      <c r="AL45" s="791"/>
      <c r="AM45" s="792"/>
      <c r="AO45" s="663" t="s">
        <v>402</v>
      </c>
      <c r="AP45" s="664"/>
      <c r="AQ45" s="654"/>
      <c r="AR45" s="654"/>
      <c r="AS45" s="654"/>
      <c r="AT45" s="610"/>
    </row>
    <row r="46" spans="1:46" ht="12.75" x14ac:dyDescent="0.2">
      <c r="A46" s="76" t="str">
        <f>IF(ISBLANK(RaysafeData!B46),"",(RaysafeData!B46))</f>
        <v/>
      </c>
      <c r="B46" s="76">
        <f>IF(ISBLANK(RaysafeData!C46),"",(RaysafeData!C46))</f>
        <v>66</v>
      </c>
      <c r="C46" s="76" t="str">
        <f>IF(ISBLANK(RaysafeData!D46),"",(RaysafeData!D46))</f>
        <v>M</v>
      </c>
      <c r="D46" s="76">
        <f>IF(ISBLANK(RaysafeData!E46),"",(RaysafeData!E46))</f>
        <v>0</v>
      </c>
      <c r="E46" s="76">
        <f>IF(ISBLANK(RaysafeData!F46),"",(RaysafeData!F46))</f>
        <v>100</v>
      </c>
      <c r="F46" s="76">
        <f>IF(ISBLANK(RaysafeData!G46),"",(RaysafeData!G46))</f>
        <v>0</v>
      </c>
      <c r="G46" s="110"/>
      <c r="H46" s="77" t="str">
        <f>IF(RaysafeData!K46="","",RaysafeData!K46*1000*($P$47^2/$O$47^2))</f>
        <v/>
      </c>
      <c r="I46" s="84" t="s">
        <v>109</v>
      </c>
      <c r="J46" s="112" t="str">
        <f>IF(AND(H49="",H50="",H51="",H52=""),"",(AVERAGE(H49:H52)))</f>
        <v/>
      </c>
      <c r="K46" s="113" t="s">
        <v>52</v>
      </c>
      <c r="L46" s="114"/>
      <c r="M46" s="99"/>
      <c r="N46" s="458" t="s">
        <v>78</v>
      </c>
      <c r="O46" s="458" t="s">
        <v>211</v>
      </c>
      <c r="P46" s="458" t="s">
        <v>212</v>
      </c>
      <c r="Q46" s="458" t="s">
        <v>213</v>
      </c>
      <c r="R46" s="458" t="s">
        <v>214</v>
      </c>
      <c r="S46" s="700"/>
      <c r="T46" s="700"/>
      <c r="U46" s="700"/>
      <c r="V46" s="700"/>
      <c r="AA46" s="434" t="s">
        <v>369</v>
      </c>
      <c r="AB46" s="435"/>
      <c r="AC46" s="435"/>
      <c r="AD46" s="435"/>
      <c r="AE46" s="436"/>
      <c r="AH46" s="631"/>
      <c r="AI46" s="274"/>
      <c r="AJ46" s="274"/>
      <c r="AK46" s="274"/>
      <c r="AL46" s="274"/>
      <c r="AM46" s="632"/>
      <c r="AO46" s="656" t="s">
        <v>394</v>
      </c>
      <c r="AP46" s="609"/>
      <c r="AQ46" s="609"/>
      <c r="AR46" s="609"/>
      <c r="AS46" s="609"/>
      <c r="AT46" s="611"/>
    </row>
    <row r="47" spans="1:46" ht="12.75" x14ac:dyDescent="0.2">
      <c r="A47" s="76" t="str">
        <f>IF(ISBLANK(RaysafeData!B47),"",(RaysafeData!B47))</f>
        <v/>
      </c>
      <c r="B47" s="76">
        <f>IF(ISBLANK(RaysafeData!C47),"",(RaysafeData!C47))</f>
        <v>102</v>
      </c>
      <c r="C47" s="76" t="str">
        <f>IF(ISBLANK(RaysafeData!D47),"",(RaysafeData!D47))</f>
        <v>M</v>
      </c>
      <c r="D47" s="76">
        <f>IF(ISBLANK(RaysafeData!E47),"",(RaysafeData!E47))</f>
        <v>0</v>
      </c>
      <c r="E47" s="76">
        <f>IF(ISBLANK(RaysafeData!F47),"",(RaysafeData!F47))</f>
        <v>100</v>
      </c>
      <c r="F47" s="76">
        <f>IF(ISBLANK(RaysafeData!G47),"",(RaysafeData!G47))</f>
        <v>0</v>
      </c>
      <c r="G47" s="110"/>
      <c r="H47" s="77" t="str">
        <f>IF(RaysafeData!K47="","",RaysafeData!K47*1000*($P$47^2/$O$47^2))</f>
        <v/>
      </c>
      <c r="I47" s="81" t="s">
        <v>110</v>
      </c>
      <c r="J47" s="115" t="str">
        <f>IF(AND(H49="",H50="",H51="",H52=""),"",(STDEV(H49:H52)))</f>
        <v/>
      </c>
      <c r="K47" s="95"/>
      <c r="L47" s="116"/>
      <c r="M47" s="99"/>
      <c r="N47" s="241"/>
      <c r="O47" s="241"/>
      <c r="P47" s="241"/>
      <c r="Q47" s="509">
        <f>RaysafeData!O49*1000</f>
        <v>0</v>
      </c>
      <c r="R47" s="509">
        <f>RaysafeData!O65*1000</f>
        <v>0</v>
      </c>
      <c r="S47" s="289"/>
      <c r="T47" s="289"/>
      <c r="U47" s="289"/>
      <c r="V47" s="289"/>
      <c r="AA47" s="434" t="s">
        <v>370</v>
      </c>
      <c r="AB47" s="435"/>
      <c r="AC47" s="435"/>
      <c r="AD47" s="435"/>
      <c r="AE47" s="436"/>
      <c r="AH47" s="633" t="s">
        <v>388</v>
      </c>
      <c r="AI47" s="634" t="s">
        <v>389</v>
      </c>
      <c r="AJ47" s="634" t="s">
        <v>53</v>
      </c>
      <c r="AK47" s="634" t="s">
        <v>390</v>
      </c>
      <c r="AL47" s="274"/>
      <c r="AM47" s="632"/>
      <c r="AO47" s="656" t="s">
        <v>418</v>
      </c>
      <c r="AP47" s="609"/>
      <c r="AQ47" s="609"/>
      <c r="AR47" s="609"/>
      <c r="AS47" s="609"/>
      <c r="AT47" s="611"/>
    </row>
    <row r="48" spans="1:46" ht="12.75" x14ac:dyDescent="0.2">
      <c r="A48" s="76" t="str">
        <f>IF(ISBLANK(RaysafeData!B48),"",(RaysafeData!B48))</f>
        <v/>
      </c>
      <c r="B48" s="76">
        <f>IF(ISBLANK(RaysafeData!C48),"",(RaysafeData!C48))</f>
        <v>117</v>
      </c>
      <c r="C48" s="76" t="str">
        <f>IF(ISBLANK(RaysafeData!D48),"",(RaysafeData!D48))</f>
        <v>M</v>
      </c>
      <c r="D48" s="76">
        <f>IF(ISBLANK(RaysafeData!E48),"",(RaysafeData!E48))</f>
        <v>0</v>
      </c>
      <c r="E48" s="76">
        <f>IF(ISBLANK(RaysafeData!F48),"",(RaysafeData!F48))</f>
        <v>100</v>
      </c>
      <c r="F48" s="76">
        <f>IF(ISBLANK(RaysafeData!G48),"",(RaysafeData!G48))</f>
        <v>0</v>
      </c>
      <c r="G48" s="110"/>
      <c r="H48" s="77" t="str">
        <f>IF(RaysafeData!K48="","",RaysafeData!K48*1000*($P$47^2/$O$47^2))</f>
        <v/>
      </c>
      <c r="I48" s="81" t="s">
        <v>104</v>
      </c>
      <c r="J48" s="119" t="str">
        <f>IF(J47="","",(J47/J46))</f>
        <v/>
      </c>
      <c r="K48" s="195" t="s">
        <v>97</v>
      </c>
      <c r="L48" s="120">
        <f>Toleranser!D22</f>
        <v>0.1</v>
      </c>
      <c r="M48" s="99"/>
      <c r="AA48" s="434"/>
      <c r="AB48" s="435"/>
      <c r="AC48" s="435"/>
      <c r="AD48" s="435"/>
      <c r="AE48" s="436"/>
      <c r="AH48" s="635" t="s">
        <v>30</v>
      </c>
      <c r="AI48" s="636" t="s">
        <v>30</v>
      </c>
      <c r="AJ48" s="685"/>
      <c r="AK48" s="686"/>
      <c r="AL48" s="274"/>
      <c r="AM48" s="632"/>
      <c r="AO48" s="656" t="s">
        <v>403</v>
      </c>
      <c r="AP48" s="609"/>
      <c r="AQ48" s="609"/>
      <c r="AR48" s="609"/>
      <c r="AS48" s="609"/>
      <c r="AT48" s="611"/>
    </row>
    <row r="49" spans="1:46" ht="12.75" x14ac:dyDescent="0.2">
      <c r="A49" s="76" t="str">
        <f>IF(ISBLANK(RaysafeData!B49),"",(RaysafeData!B49))</f>
        <v/>
      </c>
      <c r="B49" s="76">
        <f>IF(ISBLANK(RaysafeData!C49),"",(RaysafeData!C49))</f>
        <v>73</v>
      </c>
      <c r="C49" s="76" t="str">
        <f>IF(ISBLANK(RaysafeData!D49),"",(RaysafeData!D49))</f>
        <v>M</v>
      </c>
      <c r="D49" s="76">
        <f>IF(ISBLANK(RaysafeData!E49),"",(RaysafeData!E49))</f>
        <v>0</v>
      </c>
      <c r="E49" s="76">
        <f>IF(ISBLANK(RaysafeData!F49),"",(RaysafeData!F49))</f>
        <v>100</v>
      </c>
      <c r="F49" s="76">
        <f>IF(ISBLANK(RaysafeData!G49),"",(RaysafeData!G49))</f>
        <v>0</v>
      </c>
      <c r="G49" s="110"/>
      <c r="H49" s="77" t="str">
        <f>IF(RaysafeData!K49="","",RaysafeData!K49*1000*($P$47^2/$O$47^2))</f>
        <v/>
      </c>
      <c r="I49" s="93"/>
      <c r="J49" s="94" t="str">
        <f>IF(J48="","",IF(J48&gt;L48,"Fail","Pass"))</f>
        <v/>
      </c>
      <c r="K49" s="70"/>
      <c r="L49" s="121"/>
      <c r="M49" s="99"/>
      <c r="AA49" s="434"/>
      <c r="AB49" s="435"/>
      <c r="AC49" s="435"/>
      <c r="AD49" s="435"/>
      <c r="AE49" s="436"/>
      <c r="AH49" s="635" t="s">
        <v>30</v>
      </c>
      <c r="AI49" s="636" t="s">
        <v>31</v>
      </c>
      <c r="AJ49" s="686"/>
      <c r="AK49" s="686"/>
      <c r="AL49" s="274"/>
      <c r="AM49" s="632"/>
      <c r="AO49" s="656"/>
      <c r="AP49" s="609"/>
      <c r="AQ49" s="609"/>
      <c r="AR49" s="609"/>
      <c r="AS49" s="609"/>
      <c r="AT49" s="611"/>
    </row>
    <row r="50" spans="1:46" ht="12.75" x14ac:dyDescent="0.2">
      <c r="A50" s="76" t="str">
        <f>IF(ISBLANK(RaysafeData!B50),"",(RaysafeData!B50))</f>
        <v/>
      </c>
      <c r="B50" s="76">
        <f>IF(ISBLANK(RaysafeData!C50),"",(RaysafeData!C50))</f>
        <v>73</v>
      </c>
      <c r="C50" s="76" t="str">
        <f>IF(ISBLANK(RaysafeData!D50),"",(RaysafeData!D50))</f>
        <v>M</v>
      </c>
      <c r="D50" s="76">
        <f>IF(ISBLANK(RaysafeData!E50),"",(RaysafeData!E50))</f>
        <v>0</v>
      </c>
      <c r="E50" s="76">
        <f>IF(ISBLANK(RaysafeData!F50),"",(RaysafeData!F50))</f>
        <v>100</v>
      </c>
      <c r="F50" s="76">
        <f>IF(ISBLANK(RaysafeData!G50),"",(RaysafeData!G50))</f>
        <v>0</v>
      </c>
      <c r="G50" s="110"/>
      <c r="H50" s="77" t="str">
        <f>IF(RaysafeData!K50="","",RaysafeData!K50*1000*($P$47^2/$O$47^2))</f>
        <v/>
      </c>
      <c r="I50" s="99"/>
      <c r="J50" s="99"/>
      <c r="K50" s="99"/>
      <c r="L50" s="99"/>
      <c r="M50" s="99"/>
      <c r="AA50" s="434"/>
      <c r="AB50" s="435"/>
      <c r="AC50" s="435"/>
      <c r="AD50" s="435"/>
      <c r="AE50" s="436"/>
      <c r="AH50" s="635" t="s">
        <v>32</v>
      </c>
      <c r="AI50" s="636" t="s">
        <v>32</v>
      </c>
      <c r="AJ50" s="686"/>
      <c r="AK50" s="686"/>
      <c r="AL50" s="274"/>
      <c r="AM50" s="632"/>
      <c r="AO50" s="655" t="s">
        <v>401</v>
      </c>
      <c r="AP50" s="609"/>
      <c r="AQ50" s="609"/>
      <c r="AR50" s="609"/>
      <c r="AS50" s="609"/>
      <c r="AT50" s="611"/>
    </row>
    <row r="51" spans="1:46" ht="12.75" x14ac:dyDescent="0.2">
      <c r="A51" s="76" t="str">
        <f>IF(ISBLANK(RaysafeData!B51),"",(RaysafeData!B51))</f>
        <v/>
      </c>
      <c r="B51" s="76">
        <f>IF(ISBLANK(RaysafeData!C51),"",(RaysafeData!C51))</f>
        <v>73</v>
      </c>
      <c r="C51" s="76" t="str">
        <f>IF(ISBLANK(RaysafeData!D51),"",(RaysafeData!D51))</f>
        <v>M</v>
      </c>
      <c r="D51" s="76">
        <f>IF(ISBLANK(RaysafeData!E51),"",(RaysafeData!E51))</f>
        <v>0</v>
      </c>
      <c r="E51" s="76">
        <f>IF(ISBLANK(RaysafeData!F51),"",(RaysafeData!F51))</f>
        <v>100</v>
      </c>
      <c r="F51" s="76">
        <f>IF(ISBLANK(RaysafeData!G51),"",(RaysafeData!G51))</f>
        <v>0</v>
      </c>
      <c r="G51" s="110"/>
      <c r="H51" s="77" t="str">
        <f>IF(RaysafeData!K51="","",RaysafeData!K51*1000*($P$47^2/$O$47^2))</f>
        <v/>
      </c>
      <c r="I51" s="310" t="s">
        <v>232</v>
      </c>
      <c r="J51" s="311"/>
      <c r="K51" s="312"/>
      <c r="L51" s="312"/>
      <c r="M51" s="99"/>
      <c r="N51" s="306" t="s">
        <v>215</v>
      </c>
      <c r="S51" s="111"/>
      <c r="AA51" s="434"/>
      <c r="AB51" s="435"/>
      <c r="AC51" s="435"/>
      <c r="AD51" s="435"/>
      <c r="AE51" s="436"/>
      <c r="AH51" s="635"/>
      <c r="AI51" s="636"/>
      <c r="AJ51" s="647"/>
      <c r="AK51" s="648"/>
      <c r="AL51" s="274"/>
      <c r="AM51" s="632"/>
      <c r="AO51" s="656" t="s">
        <v>407</v>
      </c>
      <c r="AP51" s="609"/>
      <c r="AQ51" s="609"/>
      <c r="AR51" s="609"/>
      <c r="AS51" s="609"/>
      <c r="AT51" s="611"/>
    </row>
    <row r="52" spans="1:46" ht="12.75" x14ac:dyDescent="0.2">
      <c r="A52" s="76" t="str">
        <f>IF(ISBLANK(RaysafeData!B52),"",(RaysafeData!B52))</f>
        <v/>
      </c>
      <c r="B52" s="76">
        <f>IF(ISBLANK(RaysafeData!C52),"",(RaysafeData!C52))</f>
        <v>73</v>
      </c>
      <c r="C52" s="76" t="str">
        <f>IF(ISBLANK(RaysafeData!D52),"",(RaysafeData!D52))</f>
        <v>M</v>
      </c>
      <c r="D52" s="76">
        <f>IF(ISBLANK(RaysafeData!E52),"",(RaysafeData!E52))</f>
        <v>0</v>
      </c>
      <c r="E52" s="76">
        <f>IF(ISBLANK(RaysafeData!F52),"",(RaysafeData!F52))</f>
        <v>100</v>
      </c>
      <c r="F52" s="76">
        <f>IF(ISBLANK(RaysafeData!G52),"",(RaysafeData!G52))</f>
        <v>0</v>
      </c>
      <c r="G52" s="110"/>
      <c r="H52" s="77" t="str">
        <f>IF(RaysafeData!K52="","",RaysafeData!K52*1000*($P$47^2/$O$47^2))</f>
        <v/>
      </c>
      <c r="I52" s="84" t="s">
        <v>233</v>
      </c>
      <c r="J52" s="113" t="s">
        <v>112</v>
      </c>
      <c r="K52" s="124"/>
      <c r="L52" s="114"/>
      <c r="M52" s="99"/>
      <c r="N52" s="84"/>
      <c r="O52" s="73"/>
      <c r="P52" s="73" t="s">
        <v>35</v>
      </c>
      <c r="Q52" s="73" t="s">
        <v>36</v>
      </c>
      <c r="R52" s="73" t="s">
        <v>178</v>
      </c>
      <c r="S52" s="73" t="s">
        <v>226</v>
      </c>
      <c r="T52" s="73"/>
      <c r="U52" s="74"/>
      <c r="Z52" s="181" t="str">
        <f>IF(Q66="","",AVERAGE(Q66:Q67))</f>
        <v/>
      </c>
      <c r="AA52" s="434"/>
      <c r="AB52" s="435"/>
      <c r="AC52" s="435"/>
      <c r="AD52" s="435"/>
      <c r="AE52" s="436"/>
      <c r="AH52" s="635"/>
      <c r="AI52" s="636"/>
      <c r="AJ52" s="647"/>
      <c r="AK52" s="648"/>
      <c r="AL52" s="274"/>
      <c r="AM52" s="632"/>
      <c r="AO52" s="656" t="s">
        <v>406</v>
      </c>
      <c r="AP52" s="609"/>
      <c r="AQ52" s="609"/>
      <c r="AR52" s="609"/>
      <c r="AS52" s="609"/>
      <c r="AT52" s="611"/>
    </row>
    <row r="53" spans="1:46" ht="12.75" x14ac:dyDescent="0.2">
      <c r="A53" s="76" t="str">
        <f>IF(ISBLANK(RaysafeData!B53),"",(RaysafeData!B53))</f>
        <v/>
      </c>
      <c r="B53" s="76">
        <f>IF(ISBLANK(RaysafeData!C53),"",(RaysafeData!C53))</f>
        <v>73</v>
      </c>
      <c r="C53" s="76" t="str">
        <f>IF(ISBLANK(RaysafeData!D53),"",(RaysafeData!D53))</f>
        <v>M</v>
      </c>
      <c r="D53" s="76">
        <f>IF(ISBLANK(RaysafeData!E53),"",(RaysafeData!E53))</f>
        <v>-1</v>
      </c>
      <c r="E53" s="76">
        <f>IF(ISBLANK(RaysafeData!F53),"",(RaysafeData!F53))</f>
        <v>100</v>
      </c>
      <c r="F53" s="76">
        <f>IF(ISBLANK(RaysafeData!G53),"",(RaysafeData!G53))</f>
        <v>0</v>
      </c>
      <c r="G53" s="110"/>
      <c r="H53" s="77" t="str">
        <f>IF(RaysafeData!K53="","",RaysafeData!K53*1000*($P$47^2/$O$47^2))</f>
        <v/>
      </c>
      <c r="I53" s="81" t="s">
        <v>108</v>
      </c>
      <c r="J53" s="125" t="str">
        <f>IF(H49="","",(H56-H49)/(H49))</f>
        <v/>
      </c>
      <c r="K53" s="95"/>
      <c r="L53" s="126"/>
      <c r="M53" s="99"/>
      <c r="N53" s="81" t="s">
        <v>113</v>
      </c>
      <c r="O53" s="281" t="s">
        <v>30</v>
      </c>
      <c r="P53" s="117" t="str">
        <f>IF(H57="","",AVERAGE(H57:H58))</f>
        <v/>
      </c>
      <c r="Q53" s="117" t="str">
        <f>IF(H67="","",AVERAGE(H67:H68))</f>
        <v/>
      </c>
      <c r="R53" s="117" t="str">
        <f>IF(P53="","",AVERAGE(P53:Q53))</f>
        <v/>
      </c>
      <c r="S53" s="118" t="str">
        <f>IF(P53="","",(P53-R53)/R53)</f>
        <v/>
      </c>
      <c r="T53" s="281"/>
      <c r="U53" s="88"/>
      <c r="Z53" s="530" t="str">
        <f>IF(Q68="","",AVERAGE(Q68:Q69))</f>
        <v/>
      </c>
      <c r="AA53" s="434"/>
      <c r="AB53" s="435"/>
      <c r="AC53" s="435"/>
      <c r="AD53" s="435"/>
      <c r="AE53" s="436"/>
      <c r="AH53" s="613"/>
      <c r="AI53" s="64"/>
      <c r="AJ53" s="647"/>
      <c r="AK53" s="197"/>
      <c r="AL53" s="274"/>
      <c r="AM53" s="632"/>
      <c r="AO53" s="656"/>
      <c r="AP53" s="609"/>
      <c r="AQ53" s="609"/>
      <c r="AR53" s="609"/>
      <c r="AS53" s="609"/>
      <c r="AT53" s="611"/>
    </row>
    <row r="54" spans="1:46" ht="12.75" x14ac:dyDescent="0.2">
      <c r="A54" s="76" t="str">
        <f>IF(ISBLANK(RaysafeData!B54),"",(RaysafeData!B54))</f>
        <v/>
      </c>
      <c r="B54" s="76">
        <f>IF(ISBLANK(RaysafeData!C54),"",(RaysafeData!C54))</f>
        <v>73</v>
      </c>
      <c r="C54" s="76" t="str">
        <f>IF(ISBLANK(RaysafeData!D54),"",(RaysafeData!D54))</f>
        <v>M</v>
      </c>
      <c r="D54" s="76">
        <f>IF(ISBLANK(RaysafeData!E54),"",(RaysafeData!E54))</f>
        <v>-2</v>
      </c>
      <c r="E54" s="76">
        <f>IF(ISBLANK(RaysafeData!F54),"",(RaysafeData!F54))</f>
        <v>100</v>
      </c>
      <c r="F54" s="76">
        <f>IF(ISBLANK(RaysafeData!G54),"",(RaysafeData!G54))</f>
        <v>0</v>
      </c>
      <c r="G54" s="110"/>
      <c r="H54" s="77" t="str">
        <f>IF(RaysafeData!K54="","",RaysafeData!K54*1000*($P$47^2/$O$47^2))</f>
        <v/>
      </c>
      <c r="I54" s="81" t="s">
        <v>107</v>
      </c>
      <c r="J54" s="125" t="str">
        <f>IF(H49="","",(H55-H49)/(H49))</f>
        <v/>
      </c>
      <c r="K54" s="95"/>
      <c r="L54" s="126"/>
      <c r="M54" s="99"/>
      <c r="N54" s="81" t="s">
        <v>113</v>
      </c>
      <c r="O54" s="281" t="s">
        <v>31</v>
      </c>
      <c r="P54" s="117" t="str">
        <f>IF(H59="","",AVERAGE(H59:H60))</f>
        <v/>
      </c>
      <c r="Q54" s="117" t="str">
        <f>IF(H69="","",AVERAGE(H69:H70))</f>
        <v/>
      </c>
      <c r="R54" s="117" t="str">
        <f>IF(P54="","",AVERAGE(P54:Q54))</f>
        <v/>
      </c>
      <c r="S54" s="118" t="str">
        <f t="shared" ref="S54:S55" si="20">IF(P54="","",(P54-R54)/R54)</f>
        <v/>
      </c>
      <c r="T54" s="281"/>
      <c r="U54" s="88"/>
      <c r="Z54" s="181" t="str">
        <f>IF(Q64="","",AVERAGE(Q64:Q65))</f>
        <v/>
      </c>
      <c r="AA54" s="434"/>
      <c r="AB54" s="435"/>
      <c r="AC54" s="435"/>
      <c r="AD54" s="435"/>
      <c r="AE54" s="436"/>
      <c r="AH54" s="638"/>
      <c r="AI54" s="637"/>
      <c r="AJ54" s="637"/>
      <c r="AK54" s="274"/>
      <c r="AL54" s="274"/>
      <c r="AM54" s="632"/>
      <c r="AO54" s="655" t="s">
        <v>177</v>
      </c>
      <c r="AP54" s="609"/>
      <c r="AQ54" s="609"/>
      <c r="AR54" s="609"/>
      <c r="AS54" s="609"/>
      <c r="AT54" s="611"/>
    </row>
    <row r="55" spans="1:46" ht="12.75" x14ac:dyDescent="0.2">
      <c r="A55" s="76" t="str">
        <f>IF(ISBLANK(RaysafeData!B55),"",(RaysafeData!B55))</f>
        <v/>
      </c>
      <c r="B55" s="76">
        <f>IF(ISBLANK(RaysafeData!C55),"",(RaysafeData!C55))</f>
        <v>73</v>
      </c>
      <c r="C55" s="76" t="str">
        <f>IF(ISBLANK(RaysafeData!D55),"",(RaysafeData!D55))</f>
        <v>M</v>
      </c>
      <c r="D55" s="76">
        <f>IF(ISBLANK(RaysafeData!E55),"",(RaysafeData!E55))</f>
        <v>1</v>
      </c>
      <c r="E55" s="76">
        <f>IF(ISBLANK(RaysafeData!F55),"",(RaysafeData!F55))</f>
        <v>100</v>
      </c>
      <c r="F55" s="76">
        <f>IF(ISBLANK(RaysafeData!G55),"",(RaysafeData!G55))</f>
        <v>0</v>
      </c>
      <c r="G55" s="110"/>
      <c r="H55" s="77" t="str">
        <f>IF(RaysafeData!K55="","",RaysafeData!K55*1000*($P$47^2/$O$47^2))</f>
        <v/>
      </c>
      <c r="I55" s="81" t="s">
        <v>105</v>
      </c>
      <c r="J55" s="125" t="str">
        <f>IF(H49="","",(H53-H49)/(H49))</f>
        <v/>
      </c>
      <c r="K55" s="95"/>
      <c r="L55" s="126"/>
      <c r="M55" s="99"/>
      <c r="N55" s="81" t="s">
        <v>113</v>
      </c>
      <c r="O55" s="281" t="s">
        <v>32</v>
      </c>
      <c r="P55" s="117" t="str">
        <f>IF(H49="","",AVERAGE(H49:H52))</f>
        <v/>
      </c>
      <c r="Q55" s="117" t="str">
        <f>IF(H65="","",AVERAGE(H65:H66))</f>
        <v/>
      </c>
      <c r="R55" s="117" t="str">
        <f>IF(P55="","",AVERAGE(P55:Q55))</f>
        <v/>
      </c>
      <c r="S55" s="118" t="str">
        <f t="shared" si="20"/>
        <v/>
      </c>
      <c r="T55" s="281"/>
      <c r="U55" s="88"/>
      <c r="W55" s="64"/>
      <c r="X55" s="64"/>
      <c r="Y55" s="64"/>
      <c r="AA55" s="621" t="s">
        <v>405</v>
      </c>
      <c r="AB55" s="619"/>
      <c r="AC55" s="619"/>
      <c r="AD55" s="619"/>
      <c r="AE55" s="436"/>
      <c r="AH55" s="631"/>
      <c r="AI55" s="274"/>
      <c r="AJ55" s="274"/>
      <c r="AK55" s="274"/>
      <c r="AL55" s="274"/>
      <c r="AM55" s="632"/>
      <c r="AO55" s="655"/>
      <c r="AP55" s="609"/>
      <c r="AQ55" s="609"/>
      <c r="AR55" s="609"/>
      <c r="AS55" s="609"/>
      <c r="AT55" s="611"/>
    </row>
    <row r="56" spans="1:46" ht="12.75" x14ac:dyDescent="0.2">
      <c r="A56" s="76" t="str">
        <f>IF(ISBLANK(RaysafeData!B56),"",(RaysafeData!B56))</f>
        <v/>
      </c>
      <c r="B56" s="76">
        <f>IF(ISBLANK(RaysafeData!C56),"",(RaysafeData!C56))</f>
        <v>73</v>
      </c>
      <c r="C56" s="76" t="str">
        <f>IF(ISBLANK(RaysafeData!D56),"",(RaysafeData!D56))</f>
        <v>M</v>
      </c>
      <c r="D56" s="76">
        <f>IF(ISBLANK(RaysafeData!E56),"",(RaysafeData!E56))</f>
        <v>2</v>
      </c>
      <c r="E56" s="76">
        <f>IF(ISBLANK(RaysafeData!F56),"",(RaysafeData!F56))</f>
        <v>100</v>
      </c>
      <c r="F56" s="76">
        <f>IF(ISBLANK(RaysafeData!G56),"",(RaysafeData!G56))</f>
        <v>0</v>
      </c>
      <c r="G56" s="110"/>
      <c r="H56" s="77" t="str">
        <f>IF(RaysafeData!K56="","",RaysafeData!K56*1000*($P$47^2/$O$47^2))</f>
        <v/>
      </c>
      <c r="I56" s="93" t="s">
        <v>106</v>
      </c>
      <c r="J56" s="127" t="str">
        <f>IF(H49="","",(H54-H49)/(H49))</f>
        <v/>
      </c>
      <c r="K56" s="128"/>
      <c r="L56" s="129"/>
      <c r="M56" s="99"/>
      <c r="N56" s="90"/>
      <c r="O56" s="64"/>
      <c r="P56" s="64"/>
      <c r="Q56" s="64"/>
      <c r="R56" s="64" t="s">
        <v>111</v>
      </c>
      <c r="S56" s="118" t="str">
        <f>IF((COUNTIF(S53:S55,""))&gt;0,"",IF(MAX(S53:S55)&gt;ABS(MIN(S53:S55)),MAX(S53:S55),MIN(S53:S55)))</f>
        <v/>
      </c>
      <c r="T56" s="281" t="s">
        <v>97</v>
      </c>
      <c r="U56" s="122">
        <f>Toleranser!D21</f>
        <v>0.1</v>
      </c>
      <c r="W56" s="64"/>
      <c r="X56" s="64"/>
      <c r="Y56" s="64"/>
      <c r="AA56" s="437"/>
      <c r="AB56" s="438"/>
      <c r="AC56" s="438"/>
      <c r="AD56" s="438"/>
      <c r="AE56" s="439"/>
      <c r="AH56" s="633" t="s">
        <v>388</v>
      </c>
      <c r="AI56" s="634" t="s">
        <v>389</v>
      </c>
      <c r="AJ56" s="634" t="s">
        <v>53</v>
      </c>
      <c r="AK56" s="634" t="s">
        <v>390</v>
      </c>
      <c r="AL56" s="274"/>
      <c r="AM56" s="632"/>
      <c r="AO56" s="655"/>
      <c r="AP56" s="609"/>
      <c r="AQ56" s="609"/>
      <c r="AR56" s="609"/>
      <c r="AS56" s="609"/>
      <c r="AT56" s="611"/>
    </row>
    <row r="57" spans="1:46" ht="12.75" x14ac:dyDescent="0.2">
      <c r="A57" s="76" t="str">
        <f>IF(ISBLANK(RaysafeData!B57),"",(RaysafeData!B57))</f>
        <v/>
      </c>
      <c r="B57" s="76">
        <f>IF(ISBLANK(RaysafeData!C57),"",(RaysafeData!C57))</f>
        <v>73</v>
      </c>
      <c r="C57" s="76" t="str">
        <f>IF(ISBLANK(RaysafeData!D57),"",(RaysafeData!D57))</f>
        <v>V</v>
      </c>
      <c r="D57" s="76">
        <f>IF(ISBLANK(RaysafeData!E57),"",(RaysafeData!E57))</f>
        <v>0</v>
      </c>
      <c r="E57" s="76">
        <f>IF(ISBLANK(RaysafeData!F57),"",(RaysafeData!F57))</f>
        <v>100</v>
      </c>
      <c r="F57" s="76">
        <f>IF(ISBLANK(RaysafeData!G57),"",(RaysafeData!G57))</f>
        <v>0</v>
      </c>
      <c r="G57" s="110"/>
      <c r="H57" s="77" t="str">
        <f>IF(RaysafeData!K57="","",RaysafeData!K57*1000*($P$47^2/$O$47^2))</f>
        <v/>
      </c>
      <c r="I57" s="99"/>
      <c r="J57" s="130"/>
      <c r="K57" s="99"/>
      <c r="L57" s="99"/>
      <c r="M57" s="99"/>
      <c r="N57" s="96"/>
      <c r="O57" s="97"/>
      <c r="P57" s="97"/>
      <c r="Q57" s="97"/>
      <c r="R57" s="97"/>
      <c r="S57" s="123" t="str">
        <f>IF(S56="","",IF(ABS(S56)&gt;U56,"Fail","Pass"))</f>
        <v/>
      </c>
      <c r="T57" s="97"/>
      <c r="U57" s="98"/>
      <c r="AD57" s="520"/>
      <c r="AH57" s="635" t="s">
        <v>30</v>
      </c>
      <c r="AI57" s="636" t="s">
        <v>30</v>
      </c>
      <c r="AJ57" s="659"/>
      <c r="AK57" s="659"/>
      <c r="AL57" s="64"/>
      <c r="AM57" s="614"/>
      <c r="AO57" s="656"/>
      <c r="AP57" s="609"/>
      <c r="AQ57" s="609"/>
      <c r="AR57" s="609"/>
      <c r="AS57" s="609"/>
      <c r="AT57" s="611"/>
    </row>
    <row r="58" spans="1:46" ht="13.5" thickBot="1" x14ac:dyDescent="0.25">
      <c r="A58" s="76" t="str">
        <f>IF(ISBLANK(RaysafeData!B58),"",(RaysafeData!B58))</f>
        <v/>
      </c>
      <c r="B58" s="76">
        <f>IF(ISBLANK(RaysafeData!C58),"",(RaysafeData!C58))</f>
        <v>73</v>
      </c>
      <c r="C58" s="76" t="str">
        <f>IF(ISBLANK(RaysafeData!D58),"",(RaysafeData!D58))</f>
        <v>V</v>
      </c>
      <c r="D58" s="76">
        <f>IF(ISBLANK(RaysafeData!E58),"",(RaysafeData!E58))</f>
        <v>0</v>
      </c>
      <c r="E58" s="76">
        <f>IF(ISBLANK(RaysafeData!F58),"",(RaysafeData!F58))</f>
        <v>100</v>
      </c>
      <c r="F58" s="76">
        <f>IF(ISBLANK(RaysafeData!G58),"",(RaysafeData!G58))</f>
        <v>0</v>
      </c>
      <c r="G58" s="110"/>
      <c r="H58" s="77" t="str">
        <f>IF(RaysafeData!K58="","",RaysafeData!K58*1000*($P$47^2/$O$47^2))</f>
        <v/>
      </c>
      <c r="I58" s="63" t="s">
        <v>208</v>
      </c>
      <c r="J58" s="130"/>
      <c r="K58" s="99"/>
      <c r="L58" s="99"/>
      <c r="M58" s="99"/>
      <c r="X58" s="243"/>
      <c r="AD58" s="520"/>
      <c r="AH58" s="635" t="s">
        <v>30</v>
      </c>
      <c r="AI58" s="636" t="s">
        <v>31</v>
      </c>
      <c r="AJ58" s="660"/>
      <c r="AK58" s="660"/>
      <c r="AL58" s="64"/>
      <c r="AM58" s="614"/>
      <c r="AO58" s="657"/>
      <c r="AP58" s="658"/>
      <c r="AQ58" s="658"/>
      <c r="AR58" s="658"/>
      <c r="AS58" s="658"/>
      <c r="AT58" s="612"/>
    </row>
    <row r="59" spans="1:46" ht="12.75" x14ac:dyDescent="0.2">
      <c r="A59" s="76" t="str">
        <f>IF(ISBLANK(RaysafeData!B59),"",(RaysafeData!B59))</f>
        <v/>
      </c>
      <c r="B59" s="76">
        <f>IF(ISBLANK(RaysafeData!C59),"",(RaysafeData!C59))</f>
        <v>73</v>
      </c>
      <c r="C59" s="76" t="str">
        <f>IF(ISBLANK(RaysafeData!D59),"",(RaysafeData!D59))</f>
        <v>H</v>
      </c>
      <c r="D59" s="76">
        <f>IF(ISBLANK(RaysafeData!E59),"",(RaysafeData!E59))</f>
        <v>0</v>
      </c>
      <c r="E59" s="76">
        <f>IF(ISBLANK(RaysafeData!F59),"",(RaysafeData!F59))</f>
        <v>100</v>
      </c>
      <c r="F59" s="76">
        <f>IF(ISBLANK(RaysafeData!G59),"",(RaysafeData!G59))</f>
        <v>0</v>
      </c>
      <c r="G59" s="110"/>
      <c r="H59" s="77" t="str">
        <f>IF(RaysafeData!K59="","",RaysafeData!K59*1000*($P$47^2/$O$47^2))</f>
        <v/>
      </c>
      <c r="I59" s="131" t="s">
        <v>121</v>
      </c>
      <c r="J59" s="132" t="str">
        <f>IF(OR(H49="",H50="",H51="",H52="",H57="",H60=""),"",AVERAGE(H49:H52,H57:H60))</f>
        <v/>
      </c>
      <c r="K59" s="124"/>
      <c r="L59" s="133"/>
      <c r="M59" s="99"/>
      <c r="N59" s="139" t="s">
        <v>249</v>
      </c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33"/>
      <c r="AA59" s="782"/>
      <c r="AB59" s="782"/>
      <c r="AC59" s="782"/>
      <c r="AD59" s="782"/>
      <c r="AE59" s="782"/>
      <c r="AF59" s="292"/>
      <c r="AG59" s="292"/>
      <c r="AH59" s="635" t="s">
        <v>32</v>
      </c>
      <c r="AI59" s="636" t="s">
        <v>32</v>
      </c>
      <c r="AJ59" s="661"/>
      <c r="AK59" s="661"/>
      <c r="AL59" s="64"/>
      <c r="AM59" s="614"/>
    </row>
    <row r="60" spans="1:46" ht="12.75" x14ac:dyDescent="0.2">
      <c r="A60" s="76" t="str">
        <f>IF(ISBLANK(RaysafeData!B60),"",(RaysafeData!B60))</f>
        <v/>
      </c>
      <c r="B60" s="76">
        <f>IF(ISBLANK(RaysafeData!C60),"",(RaysafeData!C60))</f>
        <v>73</v>
      </c>
      <c r="C60" s="76" t="str">
        <f>IF(ISBLANK(RaysafeData!D60),"",(RaysafeData!D60))</f>
        <v>H</v>
      </c>
      <c r="D60" s="76">
        <f>IF(ISBLANK(RaysafeData!E60),"",(RaysafeData!E60))</f>
        <v>0</v>
      </c>
      <c r="E60" s="76">
        <f>IF(ISBLANK(RaysafeData!F60),"",(RaysafeData!F60))</f>
        <v>100</v>
      </c>
      <c r="F60" s="76">
        <f>IF(ISBLANK(RaysafeData!G60),"",(RaysafeData!G60))</f>
        <v>0</v>
      </c>
      <c r="G60" s="110"/>
      <c r="H60" s="77" t="str">
        <f>IF(RaysafeData!K60="","",RaysafeData!K60*1000*($P$47^2/$O$47^2))</f>
        <v/>
      </c>
      <c r="I60" s="81" t="s">
        <v>30</v>
      </c>
      <c r="J60" s="134" t="str">
        <f>IF(J59="","",(AVERAGE(H57:H58)-J59)/J59)</f>
        <v/>
      </c>
      <c r="K60" s="64" t="s">
        <v>209</v>
      </c>
      <c r="L60" s="82"/>
      <c r="M60" s="99"/>
      <c r="N60" s="307" t="s">
        <v>216</v>
      </c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82"/>
      <c r="AA60" s="794"/>
      <c r="AB60" s="794"/>
      <c r="AC60" s="781"/>
      <c r="AD60" s="782"/>
      <c r="AE60" s="782"/>
      <c r="AF60" s="781"/>
      <c r="AG60" s="795"/>
      <c r="AH60" s="635"/>
      <c r="AI60" s="636"/>
      <c r="AJ60" s="166"/>
      <c r="AK60" s="166"/>
      <c r="AL60" s="64"/>
      <c r="AM60" s="614"/>
    </row>
    <row r="61" spans="1:46" ht="12.75" x14ac:dyDescent="0.2">
      <c r="A61" s="76" t="str">
        <f>IF(ISBLANK(RaysafeData!B61),"",(RaysafeData!B61))</f>
        <v/>
      </c>
      <c r="B61" s="76">
        <f>IF(ISBLANK(RaysafeData!C61),"",(RaysafeData!C61))</f>
        <v>73</v>
      </c>
      <c r="C61" s="76" t="str">
        <f>IF(ISBLANK(RaysafeData!D61),"",(RaysafeData!D61))</f>
        <v>V,H,M</v>
      </c>
      <c r="D61" s="76">
        <f>IF(ISBLANK(RaysafeData!E61),"",(RaysafeData!E61))</f>
        <v>0</v>
      </c>
      <c r="E61" s="76">
        <f>IF(ISBLANK(RaysafeData!F61),"",(RaysafeData!F61))</f>
        <v>100</v>
      </c>
      <c r="F61" s="76">
        <f>IF(ISBLANK(RaysafeData!G61),"",(RaysafeData!G61))</f>
        <v>0</v>
      </c>
      <c r="G61" s="110"/>
      <c r="H61" s="77" t="str">
        <f>IF(RaysafeData!K61="","",RaysafeData!K61*1000*($P$47^2/$O$47^2))</f>
        <v/>
      </c>
      <c r="I61" s="81" t="s">
        <v>31</v>
      </c>
      <c r="J61" s="134" t="str">
        <f>IF(J59="","",(AVERAGE(H59:H60)-J59)/J59)</f>
        <v/>
      </c>
      <c r="K61" s="64" t="s">
        <v>209</v>
      </c>
      <c r="L61" s="82"/>
      <c r="M61" s="99"/>
      <c r="N61" s="75" t="s">
        <v>2</v>
      </c>
      <c r="O61" s="75" t="s">
        <v>54</v>
      </c>
      <c r="P61" s="64"/>
      <c r="Q61" s="64"/>
      <c r="R61" s="64"/>
      <c r="S61" s="64"/>
      <c r="T61" s="64"/>
      <c r="U61" s="64"/>
      <c r="V61" s="64"/>
      <c r="W61" s="64"/>
      <c r="X61" s="64"/>
      <c r="Y61" s="82"/>
      <c r="AA61" s="794"/>
      <c r="AB61" s="794"/>
      <c r="AC61" s="781"/>
      <c r="AD61" s="782"/>
      <c r="AE61" s="782"/>
      <c r="AF61" s="795"/>
      <c r="AG61" s="795"/>
      <c r="AH61" s="635"/>
      <c r="AI61" s="636"/>
      <c r="AJ61" s="284"/>
      <c r="AK61" s="284"/>
      <c r="AL61" s="64"/>
      <c r="AM61" s="614"/>
    </row>
    <row r="62" spans="1:46" ht="12.75" x14ac:dyDescent="0.2">
      <c r="A62" s="76" t="str">
        <f>IF(ISBLANK(RaysafeData!B62),"",(RaysafeData!B62))</f>
        <v/>
      </c>
      <c r="B62" s="76">
        <f>IF(ISBLANK(RaysafeData!C62),"",(RaysafeData!C62))</f>
        <v>73</v>
      </c>
      <c r="C62" s="76" t="str">
        <f>IF(ISBLANK(RaysafeData!D62),"",(RaysafeData!D62))</f>
        <v>V,H,M</v>
      </c>
      <c r="D62" s="76">
        <f>IF(ISBLANK(RaysafeData!E62),"",(RaysafeData!E62))</f>
        <v>0</v>
      </c>
      <c r="E62" s="76">
        <f>IF(ISBLANK(RaysafeData!F62),"",(RaysafeData!F62))</f>
        <v>100</v>
      </c>
      <c r="F62" s="76">
        <f>IF(ISBLANK(RaysafeData!G62),"",(RaysafeData!G62))</f>
        <v>0</v>
      </c>
      <c r="G62" s="110"/>
      <c r="H62" s="77" t="str">
        <f>IF(RaysafeData!K62="","",RaysafeData!K62*1000*($P$47^2/$O$47^2))</f>
        <v/>
      </c>
      <c r="I62" s="81" t="s">
        <v>32</v>
      </c>
      <c r="J62" s="134" t="str">
        <f>IF(J59="","",(AVERAGE(H49:H52)-J59)/J59)</f>
        <v/>
      </c>
      <c r="K62" s="64" t="s">
        <v>209</v>
      </c>
      <c r="L62" s="82"/>
      <c r="M62" s="99"/>
      <c r="N62" s="308">
        <f>B46</f>
        <v>66</v>
      </c>
      <c r="O62" s="153" t="str">
        <f>IF(H46="","",H46)</f>
        <v/>
      </c>
      <c r="P62" s="64"/>
      <c r="Q62" s="64"/>
      <c r="R62" s="64"/>
      <c r="S62" s="64"/>
      <c r="T62" s="64"/>
      <c r="U62" s="64"/>
      <c r="V62" s="64"/>
      <c r="W62" s="64"/>
      <c r="X62" s="64"/>
      <c r="Y62" s="82"/>
      <c r="AA62" s="649"/>
      <c r="AB62" s="292"/>
      <c r="AC62" s="530"/>
      <c r="AD62" s="292"/>
      <c r="AE62" s="165"/>
      <c r="AF62" s="292"/>
      <c r="AG62" s="292"/>
      <c r="AH62" s="635"/>
      <c r="AI62" s="636"/>
      <c r="AJ62" s="285"/>
      <c r="AK62" s="285"/>
      <c r="AL62" s="64"/>
      <c r="AM62" s="614"/>
    </row>
    <row r="63" spans="1:46" ht="13.5" thickBot="1" x14ac:dyDescent="0.25">
      <c r="A63" s="108" t="s">
        <v>79</v>
      </c>
      <c r="B63" s="446"/>
      <c r="C63" s="445" t="s">
        <v>252</v>
      </c>
      <c r="D63" s="446"/>
      <c r="E63" s="446"/>
      <c r="F63" s="195"/>
      <c r="G63" s="195"/>
      <c r="I63" s="81" t="s">
        <v>29</v>
      </c>
      <c r="J63" s="134" t="e">
        <f>(AVERAGE(H61:H62)-J59)/J59</f>
        <v>#DIV/0!</v>
      </c>
      <c r="K63" s="95"/>
      <c r="L63" s="82"/>
      <c r="M63" s="99"/>
      <c r="N63" s="308">
        <f>B49</f>
        <v>73</v>
      </c>
      <c r="O63" s="153" t="str">
        <f>IF(H49="","",H49)</f>
        <v/>
      </c>
      <c r="P63" s="64"/>
      <c r="Q63" s="64"/>
      <c r="R63" s="64"/>
      <c r="S63" s="64"/>
      <c r="T63" s="64"/>
      <c r="U63" s="64"/>
      <c r="V63" s="64"/>
      <c r="W63" s="64"/>
      <c r="X63" s="64"/>
      <c r="Y63" s="82"/>
      <c r="AA63" s="649"/>
      <c r="AB63" s="292"/>
      <c r="AC63" s="530"/>
      <c r="AD63" s="292"/>
      <c r="AE63" s="165"/>
      <c r="AF63" s="292"/>
      <c r="AG63" s="292"/>
      <c r="AH63" s="613"/>
      <c r="AI63" s="64"/>
      <c r="AJ63" s="64"/>
      <c r="AK63" s="64"/>
      <c r="AL63" s="64"/>
      <c r="AM63" s="614"/>
    </row>
    <row r="64" spans="1:46" ht="12" thickBot="1" x14ac:dyDescent="0.25">
      <c r="A64" s="108" t="str">
        <f>IF(ISBLANK(RaysafeData!B64),"",(RaysafeData!B64))</f>
        <v/>
      </c>
      <c r="B64" s="70" t="s">
        <v>55</v>
      </c>
      <c r="C64" s="70" t="s">
        <v>98</v>
      </c>
      <c r="D64" s="70" t="s">
        <v>85</v>
      </c>
      <c r="E64" s="70" t="s">
        <v>77</v>
      </c>
      <c r="F64" s="195" t="s">
        <v>53</v>
      </c>
      <c r="G64" s="110"/>
      <c r="H64" s="519" t="s">
        <v>52</v>
      </c>
      <c r="I64" s="81" t="s">
        <v>111</v>
      </c>
      <c r="J64" s="134" t="str">
        <f>IF(J59="","",IF(MAX(J60:J62)&gt;ABS(MIN(J60:J62)),MAX(J60:J62),MIN(J60:J62)))</f>
        <v/>
      </c>
      <c r="K64" s="195" t="s">
        <v>97</v>
      </c>
      <c r="L64" s="135">
        <f>Toleranser!D22</f>
        <v>0.1</v>
      </c>
      <c r="M64" s="99"/>
      <c r="N64" s="308">
        <f>B47</f>
        <v>102</v>
      </c>
      <c r="O64" s="153" t="str">
        <f t="shared" ref="O64:O65" si="21">IF(H47="","",H47)</f>
        <v/>
      </c>
      <c r="P64" s="64"/>
      <c r="Q64" s="64"/>
      <c r="R64" s="64"/>
      <c r="S64" s="64"/>
      <c r="T64" s="64"/>
      <c r="U64" s="64"/>
      <c r="V64" s="64"/>
      <c r="W64" s="64"/>
      <c r="X64" s="64"/>
      <c r="Y64" s="82"/>
      <c r="AA64" s="292"/>
      <c r="AB64" s="292"/>
      <c r="AC64" s="165"/>
      <c r="AD64" s="650"/>
      <c r="AE64" s="292"/>
      <c r="AF64" s="292"/>
      <c r="AG64" s="292"/>
      <c r="AH64" s="788" t="s">
        <v>396</v>
      </c>
      <c r="AI64" s="789"/>
      <c r="AJ64" s="776" t="s">
        <v>400</v>
      </c>
      <c r="AK64" s="777"/>
      <c r="AL64" s="778"/>
      <c r="AM64" s="614"/>
    </row>
    <row r="65" spans="1:46" ht="12" thickBot="1" x14ac:dyDescent="0.25">
      <c r="A65" s="76" t="str">
        <f>IF(ISBLANK(RaysafeData!B65),"",(RaysafeData!B65))</f>
        <v/>
      </c>
      <c r="B65" s="76">
        <f>RaysafeData!C65</f>
        <v>73</v>
      </c>
      <c r="C65" s="76" t="str">
        <f>IF(ISBLANK(RaysafeData!D65),"",(RaysafeData!D65))</f>
        <v>M</v>
      </c>
      <c r="D65" s="76">
        <f>IF(ISBLANK(RaysafeData!E65),"",(RaysafeData!E65))</f>
        <v>0</v>
      </c>
      <c r="E65" s="76">
        <f>IF(ISBLANK(RaysafeData!F65),"",(RaysafeData!F65))</f>
        <v>100</v>
      </c>
      <c r="F65" s="76">
        <f>IF(ISBLANK(RaysafeData!G65),"",(RaysafeData!G65))</f>
        <v>0</v>
      </c>
      <c r="G65" s="110"/>
      <c r="H65" s="77" t="str">
        <f>IF(RaysafeData!K65="","",RaysafeData!K65*1000*($P$47^2/$O$47^2))</f>
        <v/>
      </c>
      <c r="I65" s="128"/>
      <c r="J65" s="123" t="str">
        <f>IF(J64="","",IF(J64&gt;L64,"Fail","Pass"))</f>
        <v/>
      </c>
      <c r="K65" s="97"/>
      <c r="L65" s="98"/>
      <c r="M65" s="99"/>
      <c r="N65" s="308">
        <f>B48</f>
        <v>117</v>
      </c>
      <c r="O65" s="153" t="str">
        <f t="shared" si="21"/>
        <v/>
      </c>
      <c r="P65" s="64"/>
      <c r="Q65" s="64"/>
      <c r="R65" s="64"/>
      <c r="S65" s="64"/>
      <c r="T65" s="64"/>
      <c r="U65" s="64"/>
      <c r="V65" s="64"/>
      <c r="W65" s="64"/>
      <c r="X65" s="64"/>
      <c r="Y65" s="82"/>
      <c r="AA65" s="292"/>
      <c r="AB65" s="292"/>
      <c r="AC65" s="292"/>
      <c r="AD65" s="292"/>
      <c r="AE65" s="292"/>
      <c r="AF65" s="292"/>
      <c r="AG65" s="292"/>
      <c r="AH65" s="665" t="str">
        <f>IF(RaysafeData!G102=0,"",RaysafeData!G102)</f>
        <v/>
      </c>
      <c r="AI65" s="666" t="str">
        <f>IF(AH65="","",(IF(AH65&lt;600,"Pass","Feil")))</f>
        <v/>
      </c>
      <c r="AJ65" s="64"/>
      <c r="AK65" s="64"/>
      <c r="AL65" s="64"/>
      <c r="AM65" s="614"/>
    </row>
    <row r="66" spans="1:46" x14ac:dyDescent="0.2">
      <c r="A66" s="76" t="str">
        <f>IF(ISBLANK(RaysafeData!B66),"",(RaysafeData!B66))</f>
        <v/>
      </c>
      <c r="B66" s="76">
        <f>RaysafeData!C66</f>
        <v>73</v>
      </c>
      <c r="C66" s="76" t="str">
        <f>IF(ISBLANK(RaysafeData!D66),"",(RaysafeData!D66))</f>
        <v>M</v>
      </c>
      <c r="D66" s="76">
        <f>IF(ISBLANK(RaysafeData!E66),"",(RaysafeData!E66))</f>
        <v>0</v>
      </c>
      <c r="E66" s="76">
        <f>IF(ISBLANK(RaysafeData!F66),"",(RaysafeData!F66))</f>
        <v>100</v>
      </c>
      <c r="F66" s="76">
        <f>IF(ISBLANK(RaysafeData!G66),"",(RaysafeData!G66))</f>
        <v>0</v>
      </c>
      <c r="G66" s="110"/>
      <c r="H66" s="77" t="str">
        <f>IF(RaysafeData!K66="","",RaysafeData!K66*1000*($P$47^2/$O$47^2))</f>
        <v/>
      </c>
      <c r="I66" s="99"/>
      <c r="J66" s="99"/>
      <c r="K66" s="99"/>
      <c r="L66" s="99"/>
      <c r="M66" s="99"/>
      <c r="N66" s="90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82"/>
      <c r="AA66" s="797"/>
      <c r="AB66" s="797"/>
      <c r="AC66" s="292"/>
      <c r="AD66" s="650"/>
      <c r="AE66" s="292"/>
      <c r="AF66" s="292"/>
      <c r="AG66" s="292"/>
      <c r="AH66" s="613"/>
      <c r="AI66" s="64"/>
      <c r="AJ66" s="64"/>
      <c r="AK66" s="64"/>
      <c r="AL66" s="64"/>
      <c r="AM66" s="614"/>
    </row>
    <row r="67" spans="1:46" ht="12" thickBot="1" x14ac:dyDescent="0.25">
      <c r="A67" s="76" t="str">
        <f>IF(ISBLANK(RaysafeData!B67),"",(RaysafeData!B67))</f>
        <v/>
      </c>
      <c r="B67" s="76">
        <f>RaysafeData!C67</f>
        <v>73</v>
      </c>
      <c r="C67" s="76" t="str">
        <f>IF(ISBLANK(RaysafeData!D67),"",(RaysafeData!D67))</f>
        <v>V</v>
      </c>
      <c r="D67" s="76">
        <f>IF(ISBLANK(RaysafeData!E67),"",(RaysafeData!E67))</f>
        <v>0</v>
      </c>
      <c r="E67" s="76">
        <f>IF(ISBLANK(RaysafeData!F67),"",(RaysafeData!F67))</f>
        <v>100</v>
      </c>
      <c r="F67" s="76">
        <f>IF(ISBLANK(RaysafeData!G67),"",(RaysafeData!G67))</f>
        <v>0</v>
      </c>
      <c r="G67" s="110"/>
      <c r="H67" s="77" t="str">
        <f>IF(RaysafeData!K67="","",RaysafeData!K67*1000*($P$47^2/$O$47^2))</f>
        <v/>
      </c>
      <c r="I67" s="99"/>
      <c r="J67" s="99"/>
      <c r="K67" s="99"/>
      <c r="L67" s="99"/>
      <c r="M67" s="99"/>
      <c r="N67" s="90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82"/>
      <c r="AA67" s="651"/>
      <c r="AB67" s="651"/>
      <c r="AC67" s="292"/>
      <c r="AD67" s="292"/>
      <c r="AE67" s="292"/>
      <c r="AF67" s="292"/>
      <c r="AG67" s="292"/>
      <c r="AH67" s="653"/>
      <c r="AI67" s="105"/>
      <c r="AJ67" s="105"/>
      <c r="AK67" s="105"/>
      <c r="AL67" s="105"/>
      <c r="AM67" s="615"/>
    </row>
    <row r="68" spans="1:46" x14ac:dyDescent="0.2">
      <c r="A68" s="76" t="str">
        <f>IF(ISBLANK(RaysafeData!B68),"",(RaysafeData!B68))</f>
        <v/>
      </c>
      <c r="B68" s="76">
        <f>RaysafeData!C68</f>
        <v>73</v>
      </c>
      <c r="C68" s="76" t="str">
        <f>IF(ISBLANK(RaysafeData!D68),"",(RaysafeData!D68))</f>
        <v>V</v>
      </c>
      <c r="D68" s="76">
        <f>IF(ISBLANK(RaysafeData!E68),"",(RaysafeData!E68))</f>
        <v>0</v>
      </c>
      <c r="E68" s="76">
        <f>IF(ISBLANK(RaysafeData!F68),"",(RaysafeData!F68))</f>
        <v>100</v>
      </c>
      <c r="F68" s="76">
        <f>IF(ISBLANK(RaysafeData!G68),"",(RaysafeData!G68))</f>
        <v>0</v>
      </c>
      <c r="G68" s="110"/>
      <c r="H68" s="77" t="str">
        <f>IF(RaysafeData!K68="","",RaysafeData!K68*1000*($P$47^2/$O$47^2))</f>
        <v/>
      </c>
      <c r="I68" s="99"/>
      <c r="J68" s="99"/>
      <c r="K68" s="99"/>
      <c r="L68" s="99"/>
      <c r="M68" s="99"/>
      <c r="N68" s="90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82"/>
      <c r="AA68" s="64"/>
      <c r="AB68" s="64"/>
      <c r="AC68" s="64"/>
      <c r="AD68" s="64"/>
    </row>
    <row r="69" spans="1:46" x14ac:dyDescent="0.2">
      <c r="A69" s="76" t="str">
        <f>IF(ISBLANK(RaysafeData!B69),"",(RaysafeData!B69))</f>
        <v/>
      </c>
      <c r="B69" s="76">
        <f>RaysafeData!C69</f>
        <v>73</v>
      </c>
      <c r="C69" s="76" t="str">
        <f>IF(ISBLANK(RaysafeData!D69),"",(RaysafeData!D69))</f>
        <v>H</v>
      </c>
      <c r="D69" s="76">
        <f>IF(ISBLANK(RaysafeData!E69),"",(RaysafeData!E69))</f>
        <v>0</v>
      </c>
      <c r="E69" s="76">
        <f>IF(ISBLANK(RaysafeData!F69),"",(RaysafeData!F69))</f>
        <v>100</v>
      </c>
      <c r="F69" s="76">
        <f>IF(ISBLANK(RaysafeData!G69),"",(RaysafeData!G69))</f>
        <v>0</v>
      </c>
      <c r="G69" s="110"/>
      <c r="H69" s="77" t="str">
        <f>IF(RaysafeData!K69="","",RaysafeData!K69*1000*($P$47^2/$O$47^2))</f>
        <v/>
      </c>
      <c r="I69" s="99"/>
      <c r="J69" s="99"/>
      <c r="K69" s="99"/>
      <c r="L69" s="99"/>
      <c r="M69" s="99"/>
      <c r="N69" s="96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</row>
    <row r="70" spans="1:46" s="105" customFormat="1" ht="12" thickBot="1" x14ac:dyDescent="0.25">
      <c r="A70" s="101" t="str">
        <f>IF(ISBLANK(RaysafeData!B70),"",(RaysafeData!B70))</f>
        <v/>
      </c>
      <c r="B70" s="76">
        <f>RaysafeData!C70</f>
        <v>73</v>
      </c>
      <c r="C70" s="101" t="str">
        <f>IF(ISBLANK(RaysafeData!D70),"",(RaysafeData!D70))</f>
        <v>H</v>
      </c>
      <c r="D70" s="101">
        <f>IF(ISBLANK(RaysafeData!E70),"",(RaysafeData!E70))</f>
        <v>0</v>
      </c>
      <c r="E70" s="101">
        <f>IF(ISBLANK(RaysafeData!F70),"",(RaysafeData!F70))</f>
        <v>100</v>
      </c>
      <c r="F70" s="101">
        <f>IF(ISBLANK(RaysafeData!G70),"",(RaysafeData!G70))</f>
        <v>0</v>
      </c>
      <c r="G70" s="137"/>
      <c r="H70" s="102" t="str">
        <f>IF(RaysafeData!K70="","",RaysafeData!K70*1000*($P$47^2/$O$47^2))</f>
        <v/>
      </c>
      <c r="I70" s="138"/>
      <c r="J70" s="138"/>
      <c r="K70" s="138"/>
      <c r="L70" s="138"/>
      <c r="M70" s="138"/>
    </row>
    <row r="71" spans="1:46" ht="13.5" thickBot="1" x14ac:dyDescent="0.25">
      <c r="A71" s="108"/>
      <c r="B71" s="444" t="s">
        <v>253</v>
      </c>
      <c r="C71" s="445" t="s">
        <v>251</v>
      </c>
      <c r="D71" s="446"/>
      <c r="E71" s="446"/>
      <c r="F71" s="195"/>
      <c r="G71" s="195"/>
    </row>
    <row r="72" spans="1:46" ht="12.75" x14ac:dyDescent="0.2">
      <c r="A72" s="109"/>
      <c r="B72" s="70" t="s">
        <v>55</v>
      </c>
      <c r="C72" s="70" t="s">
        <v>98</v>
      </c>
      <c r="D72" s="70" t="s">
        <v>85</v>
      </c>
      <c r="E72" s="70" t="s">
        <v>77</v>
      </c>
      <c r="F72" s="195" t="s">
        <v>53</v>
      </c>
      <c r="G72" s="110"/>
      <c r="H72" s="519" t="s">
        <v>52</v>
      </c>
      <c r="I72" s="139" t="s">
        <v>207</v>
      </c>
      <c r="J72" s="140"/>
      <c r="K72" s="124"/>
      <c r="L72" s="114"/>
      <c r="M72" s="99"/>
      <c r="N72" s="258" t="s">
        <v>210</v>
      </c>
      <c r="O72"/>
      <c r="P72"/>
      <c r="Q72"/>
      <c r="R72"/>
      <c r="AA72" s="431" t="s">
        <v>269</v>
      </c>
      <c r="AB72" s="432"/>
      <c r="AC72" s="432"/>
      <c r="AD72" s="432"/>
      <c r="AE72" s="433"/>
      <c r="AH72" s="790" t="s">
        <v>399</v>
      </c>
      <c r="AI72" s="791"/>
      <c r="AJ72" s="791"/>
      <c r="AK72" s="791"/>
      <c r="AL72" s="791"/>
      <c r="AM72" s="792"/>
      <c r="AO72" s="663" t="s">
        <v>402</v>
      </c>
      <c r="AP72" s="664"/>
      <c r="AQ72" s="654"/>
      <c r="AR72" s="654"/>
      <c r="AS72" s="654"/>
      <c r="AT72" s="610"/>
    </row>
    <row r="73" spans="1:46" ht="12.75" x14ac:dyDescent="0.2">
      <c r="A73" s="76" t="str">
        <f>IF(ISBLANK(RaysafeData!B73),"",(RaysafeData!B73))</f>
        <v/>
      </c>
      <c r="B73" s="76">
        <f>IF(ISBLANK(RaysafeData!C73),"",(RaysafeData!C73))</f>
        <v>90</v>
      </c>
      <c r="C73" s="76" t="str">
        <f>IF(ISBLANK(RaysafeData!D73),"",(RaysafeData!D73))</f>
        <v>M</v>
      </c>
      <c r="D73" s="76">
        <f>IF(ISBLANK(RaysafeData!E73),"",(RaysafeData!E73))</f>
        <v>0</v>
      </c>
      <c r="E73" s="76">
        <f>IF(ISBLANK(RaysafeData!F73),"",(RaysafeData!F73))</f>
        <v>100</v>
      </c>
      <c r="F73" s="76">
        <f>IF(ISBLANK(RaysafeData!G73),"",(RaysafeData!G73))</f>
        <v>0</v>
      </c>
      <c r="G73" s="110"/>
      <c r="H73" s="77" t="str">
        <f>IF(RaysafeData!K73="","",RaysafeData!K73*1000*($P$74^2/$O$74^2))</f>
        <v/>
      </c>
      <c r="I73" s="510" t="s">
        <v>109</v>
      </c>
      <c r="J73" s="115" t="str">
        <f>IF(AND(H76="",H77="",H78="",H79=""),"",(AVERAGE(H76:H79)))</f>
        <v/>
      </c>
      <c r="K73" s="64" t="s">
        <v>52</v>
      </c>
      <c r="L73" s="116"/>
      <c r="M73" s="99"/>
      <c r="N73" s="458" t="s">
        <v>78</v>
      </c>
      <c r="O73" s="458" t="s">
        <v>211</v>
      </c>
      <c r="P73" s="458" t="s">
        <v>212</v>
      </c>
      <c r="Q73" s="458" t="s">
        <v>213</v>
      </c>
      <c r="R73" s="458" t="s">
        <v>214</v>
      </c>
      <c r="AA73" s="434" t="s">
        <v>370</v>
      </c>
      <c r="AB73" s="435"/>
      <c r="AC73" s="435"/>
      <c r="AD73" s="435"/>
      <c r="AE73" s="436"/>
      <c r="AH73" s="631"/>
      <c r="AI73" s="274"/>
      <c r="AJ73" s="274"/>
      <c r="AK73" s="274"/>
      <c r="AL73" s="274"/>
      <c r="AM73" s="632"/>
      <c r="AO73" s="656" t="s">
        <v>394</v>
      </c>
      <c r="AP73" s="609"/>
      <c r="AQ73" s="609"/>
      <c r="AR73" s="609"/>
      <c r="AS73" s="609"/>
      <c r="AT73" s="611"/>
    </row>
    <row r="74" spans="1:46" ht="12.75" x14ac:dyDescent="0.2">
      <c r="A74" s="76" t="str">
        <f>IF(ISBLANK(RaysafeData!B74),"",(RaysafeData!B74))</f>
        <v/>
      </c>
      <c r="B74" s="76">
        <f>IF(ISBLANK(RaysafeData!C74),"",(RaysafeData!C74))</f>
        <v>109</v>
      </c>
      <c r="C74" s="76" t="str">
        <f>IF(ISBLANK(RaysafeData!D74),"",(RaysafeData!D74))</f>
        <v>M</v>
      </c>
      <c r="D74" s="76">
        <f>IF(ISBLANK(RaysafeData!E74),"",(RaysafeData!E74))</f>
        <v>0</v>
      </c>
      <c r="E74" s="76">
        <f>IF(ISBLANK(RaysafeData!F74),"",(RaysafeData!F74))</f>
        <v>100</v>
      </c>
      <c r="F74" s="76">
        <f>IF(ISBLANK(RaysafeData!G74),"",(RaysafeData!G74))</f>
        <v>0</v>
      </c>
      <c r="G74" s="110"/>
      <c r="H74" s="77" t="str">
        <f>IF(RaysafeData!K74="","",RaysafeData!K74*1000*($P$74^2/$O$74^2))</f>
        <v/>
      </c>
      <c r="I74" s="510" t="s">
        <v>110</v>
      </c>
      <c r="J74" s="115" t="str">
        <f>IF(AND(H76="",H77="",H78="",H79=""),"",(STDEVA(H76:H79)))</f>
        <v/>
      </c>
      <c r="K74" s="95"/>
      <c r="L74" s="116"/>
      <c r="M74" s="99"/>
      <c r="N74" s="241" t="s">
        <v>523</v>
      </c>
      <c r="O74" s="241">
        <v>110</v>
      </c>
      <c r="P74" s="241">
        <v>103</v>
      </c>
      <c r="Q74" s="509">
        <f>RaysafeData!O76*1000</f>
        <v>0</v>
      </c>
      <c r="R74" s="509">
        <f>RaysafeData!O92*1000</f>
        <v>0</v>
      </c>
      <c r="AA74" s="434"/>
      <c r="AB74" s="435"/>
      <c r="AC74" s="435"/>
      <c r="AD74" s="435"/>
      <c r="AE74" s="436"/>
      <c r="AH74" s="633" t="s">
        <v>388</v>
      </c>
      <c r="AI74" s="634" t="s">
        <v>389</v>
      </c>
      <c r="AJ74" s="634" t="s">
        <v>53</v>
      </c>
      <c r="AK74" s="634" t="s">
        <v>390</v>
      </c>
      <c r="AL74" s="274"/>
      <c r="AM74" s="632"/>
      <c r="AO74" s="656" t="s">
        <v>418</v>
      </c>
      <c r="AP74" s="609"/>
      <c r="AQ74" s="609"/>
      <c r="AR74" s="609"/>
      <c r="AS74" s="609"/>
      <c r="AT74" s="611"/>
    </row>
    <row r="75" spans="1:46" ht="12.75" x14ac:dyDescent="0.2">
      <c r="A75" s="76" t="str">
        <f>IF(ISBLANK(RaysafeData!B75),"",(RaysafeData!B75))</f>
        <v/>
      </c>
      <c r="B75" s="76">
        <f>IF(ISBLANK(RaysafeData!C75),"",(RaysafeData!C75))</f>
        <v>117</v>
      </c>
      <c r="C75" s="76" t="str">
        <f>IF(ISBLANK(RaysafeData!D75),"",(RaysafeData!D75))</f>
        <v>M</v>
      </c>
      <c r="D75" s="76">
        <f>IF(ISBLANK(RaysafeData!E75),"",(RaysafeData!E75))</f>
        <v>0</v>
      </c>
      <c r="E75" s="76">
        <f>IF(ISBLANK(RaysafeData!F75),"",(RaysafeData!F75))</f>
        <v>100</v>
      </c>
      <c r="F75" s="76">
        <f>IF(ISBLANK(RaysafeData!G75),"",(RaysafeData!G75))</f>
        <v>0</v>
      </c>
      <c r="G75" s="110"/>
      <c r="H75" s="77" t="str">
        <f>IF(RaysafeData!K75="","",RaysafeData!K75*1000*($P$74^2/$O$74^2))</f>
        <v/>
      </c>
      <c r="I75" s="510" t="s">
        <v>104</v>
      </c>
      <c r="J75" s="119" t="str">
        <f>IF(J74="","",(J74/J73))</f>
        <v/>
      </c>
      <c r="K75" s="281" t="s">
        <v>97</v>
      </c>
      <c r="L75" s="120">
        <f>Toleranser!D23</f>
        <v>0.1</v>
      </c>
      <c r="M75" s="99"/>
      <c r="AA75" s="434"/>
      <c r="AB75" s="435"/>
      <c r="AC75" s="435"/>
      <c r="AD75" s="435"/>
      <c r="AE75" s="436"/>
      <c r="AH75" s="635" t="s">
        <v>30</v>
      </c>
      <c r="AI75" s="636" t="s">
        <v>30</v>
      </c>
      <c r="AJ75" s="685"/>
      <c r="AK75" s="686"/>
      <c r="AL75" s="274"/>
      <c r="AM75" s="632"/>
      <c r="AO75" s="656" t="s">
        <v>403</v>
      </c>
      <c r="AP75" s="609"/>
      <c r="AQ75" s="609"/>
      <c r="AR75" s="609"/>
      <c r="AS75" s="609"/>
      <c r="AT75" s="611"/>
    </row>
    <row r="76" spans="1:46" ht="12.75" x14ac:dyDescent="0.2">
      <c r="A76" s="76" t="str">
        <f>IF(ISBLANK(RaysafeData!B76),"",(RaysafeData!B76))</f>
        <v/>
      </c>
      <c r="B76" s="76">
        <f>IF(ISBLANK(RaysafeData!C76),"",(RaysafeData!C76))</f>
        <v>73</v>
      </c>
      <c r="C76" s="76" t="str">
        <f>IF(ISBLANK(RaysafeData!D76),"",(RaysafeData!D76))</f>
        <v>M</v>
      </c>
      <c r="D76" s="76">
        <f>IF(ISBLANK(RaysafeData!E76),"",(RaysafeData!E76))</f>
        <v>0</v>
      </c>
      <c r="E76" s="76">
        <f>IF(ISBLANK(RaysafeData!F76),"",(RaysafeData!F76))</f>
        <v>100</v>
      </c>
      <c r="F76" s="76">
        <f>IF(ISBLANK(RaysafeData!G76),"",(RaysafeData!G76))</f>
        <v>0</v>
      </c>
      <c r="G76" s="110"/>
      <c r="H76" s="77" t="str">
        <f>IF(RaysafeData!K76="","",RaysafeData!K76*1000*($P$74^2/$O$74^2))</f>
        <v/>
      </c>
      <c r="I76" s="70"/>
      <c r="J76" s="94" t="str">
        <f>IF(J75="","",IF(J75&gt;L75,"Fail","Pass"))</f>
        <v/>
      </c>
      <c r="K76" s="97"/>
      <c r="L76" s="98"/>
      <c r="M76" s="99"/>
      <c r="AA76" s="434"/>
      <c r="AB76" s="435"/>
      <c r="AC76" s="435"/>
      <c r="AD76" s="435"/>
      <c r="AE76" s="436"/>
      <c r="AH76" s="635" t="s">
        <v>30</v>
      </c>
      <c r="AI76" s="636" t="s">
        <v>31</v>
      </c>
      <c r="AJ76" s="686"/>
      <c r="AK76" s="686"/>
      <c r="AL76" s="274"/>
      <c r="AM76" s="632"/>
      <c r="AO76" s="656"/>
      <c r="AP76" s="609"/>
      <c r="AQ76" s="609"/>
      <c r="AR76" s="609"/>
      <c r="AS76" s="609"/>
      <c r="AT76" s="611"/>
    </row>
    <row r="77" spans="1:46" ht="12.75" x14ac:dyDescent="0.2">
      <c r="A77" s="76" t="str">
        <f>IF(ISBLANK(RaysafeData!B77),"",(RaysafeData!B77))</f>
        <v/>
      </c>
      <c r="B77" s="76">
        <f>IF(ISBLANK(RaysafeData!C77),"",(RaysafeData!C77))</f>
        <v>73</v>
      </c>
      <c r="C77" s="76" t="str">
        <f>IF(ISBLANK(RaysafeData!D77),"",(RaysafeData!D77))</f>
        <v>M</v>
      </c>
      <c r="D77" s="76">
        <f>IF(ISBLANK(RaysafeData!E77),"",(RaysafeData!E77))</f>
        <v>0</v>
      </c>
      <c r="E77" s="76">
        <f>IF(ISBLANK(RaysafeData!F77),"",(RaysafeData!F77))</f>
        <v>100</v>
      </c>
      <c r="F77" s="76">
        <f>IF(ISBLANK(RaysafeData!G77),"",(RaysafeData!G77))</f>
        <v>0</v>
      </c>
      <c r="G77" s="110"/>
      <c r="H77" s="77" t="str">
        <f>IF(RaysafeData!K77="","",RaysafeData!K77*1000*($P$74^2/$O$74^2))</f>
        <v/>
      </c>
      <c r="I77" s="99"/>
      <c r="J77" s="99"/>
      <c r="K77" s="99"/>
      <c r="L77" s="99"/>
      <c r="M77" s="99"/>
      <c r="AA77" s="434"/>
      <c r="AB77" s="435"/>
      <c r="AC77" s="435"/>
      <c r="AD77" s="435"/>
      <c r="AE77" s="436"/>
      <c r="AH77" s="635" t="s">
        <v>32</v>
      </c>
      <c r="AI77" s="636" t="s">
        <v>32</v>
      </c>
      <c r="AJ77" s="686"/>
      <c r="AK77" s="686"/>
      <c r="AL77" s="274"/>
      <c r="AM77" s="632"/>
      <c r="AO77" s="655" t="s">
        <v>401</v>
      </c>
      <c r="AP77" s="609"/>
      <c r="AQ77" s="609"/>
      <c r="AR77" s="609"/>
      <c r="AS77" s="609"/>
      <c r="AT77" s="611"/>
    </row>
    <row r="78" spans="1:46" ht="12.75" x14ac:dyDescent="0.2">
      <c r="A78" s="76" t="str">
        <f>IF(ISBLANK(RaysafeData!B78),"",(RaysafeData!B78))</f>
        <v/>
      </c>
      <c r="B78" s="76">
        <f>IF(ISBLANK(RaysafeData!C78),"",(RaysafeData!C78))</f>
        <v>73</v>
      </c>
      <c r="C78" s="76" t="str">
        <f>IF(ISBLANK(RaysafeData!D78),"",(RaysafeData!D78))</f>
        <v>M</v>
      </c>
      <c r="D78" s="76">
        <f>IF(ISBLANK(RaysafeData!E78),"",(RaysafeData!E78))</f>
        <v>0</v>
      </c>
      <c r="E78" s="76">
        <f>IF(ISBLANK(RaysafeData!F78),"",(RaysafeData!F78))</f>
        <v>100</v>
      </c>
      <c r="F78" s="76">
        <f>IF(ISBLANK(RaysafeData!G78),"",(RaysafeData!G78))</f>
        <v>0</v>
      </c>
      <c r="G78" s="110"/>
      <c r="H78" s="77" t="str">
        <f>IF(RaysafeData!K78="","",RaysafeData!K78*1000*($P$74^2/$O$74^2))</f>
        <v/>
      </c>
      <c r="I78" s="282" t="s">
        <v>232</v>
      </c>
      <c r="J78" s="282"/>
      <c r="K78" s="313"/>
      <c r="L78" s="314"/>
      <c r="M78" s="99"/>
      <c r="N78" s="139" t="s">
        <v>215</v>
      </c>
      <c r="O78" s="113"/>
      <c r="P78" s="113"/>
      <c r="Q78" s="113"/>
      <c r="R78" s="113"/>
      <c r="S78" s="141"/>
      <c r="T78" s="113"/>
      <c r="U78" s="133"/>
      <c r="AA78" s="434"/>
      <c r="AB78" s="435"/>
      <c r="AC78" s="435"/>
      <c r="AD78" s="435"/>
      <c r="AE78" s="436"/>
      <c r="AH78" s="635"/>
      <c r="AI78" s="636"/>
      <c r="AJ78" s="647"/>
      <c r="AK78" s="197"/>
      <c r="AL78" s="274"/>
      <c r="AM78" s="632"/>
      <c r="AO78" s="656" t="s">
        <v>407</v>
      </c>
      <c r="AP78" s="609"/>
      <c r="AQ78" s="609"/>
      <c r="AR78" s="609"/>
      <c r="AS78" s="609"/>
      <c r="AT78" s="611"/>
    </row>
    <row r="79" spans="1:46" ht="12.75" x14ac:dyDescent="0.2">
      <c r="A79" s="76" t="str">
        <f>IF(ISBLANK(RaysafeData!B79),"",(RaysafeData!B79))</f>
        <v/>
      </c>
      <c r="B79" s="76">
        <f>IF(ISBLANK(RaysafeData!C79),"",(RaysafeData!C79))</f>
        <v>73</v>
      </c>
      <c r="C79" s="76" t="str">
        <f>IF(ISBLANK(RaysafeData!D79),"",(RaysafeData!D79))</f>
        <v>M</v>
      </c>
      <c r="D79" s="76">
        <f>IF(ISBLANK(RaysafeData!E79),"",(RaysafeData!E79))</f>
        <v>0</v>
      </c>
      <c r="E79" s="76">
        <f>IF(ISBLANK(RaysafeData!F79),"",(RaysafeData!F79))</f>
        <v>100</v>
      </c>
      <c r="F79" s="76">
        <f>IF(ISBLANK(RaysafeData!G79),"",(RaysafeData!G79))</f>
        <v>0</v>
      </c>
      <c r="G79" s="110"/>
      <c r="H79" s="77" t="str">
        <f>IF(RaysafeData!K79="","",RaysafeData!K79*1000*($P$74^2/$O$74^2))</f>
        <v/>
      </c>
      <c r="I79" s="73" t="s">
        <v>233</v>
      </c>
      <c r="J79" s="64" t="s">
        <v>112</v>
      </c>
      <c r="K79" s="95"/>
      <c r="L79" s="116"/>
      <c r="M79" s="99"/>
      <c r="N79" s="81"/>
      <c r="O79" s="195"/>
      <c r="P79" s="195" t="s">
        <v>35</v>
      </c>
      <c r="Q79" s="195" t="s">
        <v>36</v>
      </c>
      <c r="R79" s="195" t="s">
        <v>231</v>
      </c>
      <c r="S79" s="195" t="s">
        <v>226</v>
      </c>
      <c r="T79" s="195"/>
      <c r="U79" s="88"/>
      <c r="AA79" s="434"/>
      <c r="AB79" s="435"/>
      <c r="AC79" s="435"/>
      <c r="AD79" s="435"/>
      <c r="AE79" s="436"/>
      <c r="AH79" s="635"/>
      <c r="AI79" s="636"/>
      <c r="AJ79" s="647"/>
      <c r="AK79" s="197"/>
      <c r="AL79" s="274"/>
      <c r="AM79" s="632"/>
      <c r="AO79" s="656" t="s">
        <v>406</v>
      </c>
      <c r="AP79" s="609"/>
      <c r="AQ79" s="609"/>
      <c r="AR79" s="609"/>
      <c r="AS79" s="609"/>
      <c r="AT79" s="611"/>
    </row>
    <row r="80" spans="1:46" ht="12.75" x14ac:dyDescent="0.2">
      <c r="A80" s="76" t="str">
        <f>IF(ISBLANK(RaysafeData!B80),"",(RaysafeData!B80))</f>
        <v/>
      </c>
      <c r="B80" s="76">
        <f>IF(ISBLANK(RaysafeData!C80),"",(RaysafeData!C80))</f>
        <v>73</v>
      </c>
      <c r="C80" s="76" t="str">
        <f>IF(ISBLANK(RaysafeData!D80),"",(RaysafeData!D80))</f>
        <v>M</v>
      </c>
      <c r="D80" s="76">
        <f>IF(ISBLANK(RaysafeData!E80),"",(RaysafeData!E80))</f>
        <v>-1</v>
      </c>
      <c r="E80" s="76">
        <f>IF(ISBLANK(RaysafeData!F80),"",(RaysafeData!F80))</f>
        <v>100</v>
      </c>
      <c r="F80" s="76">
        <f>IF(ISBLANK(RaysafeData!G80),"",(RaysafeData!G80))</f>
        <v>0</v>
      </c>
      <c r="G80" s="110"/>
      <c r="H80" s="77" t="str">
        <f>IF(RaysafeData!K80="","",RaysafeData!K80*1000*($P$74^2/$O$74^2))</f>
        <v/>
      </c>
      <c r="I80" s="510" t="s">
        <v>108</v>
      </c>
      <c r="J80" s="118" t="str">
        <f>IF(H76="","",(H83-H76)/(H76))</f>
        <v/>
      </c>
      <c r="K80" s="64"/>
      <c r="L80" s="126"/>
      <c r="M80" s="99"/>
      <c r="N80" s="81" t="s">
        <v>113</v>
      </c>
      <c r="O80" s="195" t="s">
        <v>30</v>
      </c>
      <c r="P80" s="117" t="str">
        <f>IF(H84="","",AVERAGE(H84:H85))</f>
        <v/>
      </c>
      <c r="Q80" s="117" t="str">
        <f>IF(H94="","",AVERAGE(H94:H95))</f>
        <v/>
      </c>
      <c r="R80" s="117" t="str">
        <f>IF(P80="","",AVERAGE(P80:Q80))</f>
        <v/>
      </c>
      <c r="S80" s="118" t="str">
        <f>IF(P80="","",(P80-R80)/R80)</f>
        <v/>
      </c>
      <c r="T80" s="195"/>
      <c r="U80" s="88"/>
      <c r="AA80" s="434"/>
      <c r="AB80" s="435"/>
      <c r="AC80" s="435"/>
      <c r="AD80" s="435"/>
      <c r="AE80" s="436"/>
      <c r="AH80" s="613"/>
      <c r="AI80" s="64"/>
      <c r="AJ80" s="647"/>
      <c r="AK80" s="197"/>
      <c r="AL80" s="274"/>
      <c r="AM80" s="632"/>
      <c r="AO80" s="655"/>
      <c r="AP80" s="609"/>
      <c r="AQ80" s="609"/>
      <c r="AR80" s="609"/>
      <c r="AS80" s="609"/>
      <c r="AT80" s="611"/>
    </row>
    <row r="81" spans="1:46" ht="12.75" x14ac:dyDescent="0.2">
      <c r="A81" s="76" t="str">
        <f>IF(ISBLANK(RaysafeData!B81),"",(RaysafeData!B81))</f>
        <v/>
      </c>
      <c r="B81" s="76">
        <f>IF(ISBLANK(RaysafeData!C81),"",(RaysafeData!C81))</f>
        <v>73</v>
      </c>
      <c r="C81" s="76" t="str">
        <f>IF(ISBLANK(RaysafeData!D81),"",(RaysafeData!D81))</f>
        <v>M</v>
      </c>
      <c r="D81" s="76">
        <f>IF(ISBLANK(RaysafeData!E81),"",(RaysafeData!E81))</f>
        <v>-2</v>
      </c>
      <c r="E81" s="76">
        <f>IF(ISBLANK(RaysafeData!F81),"",(RaysafeData!F81))</f>
        <v>100</v>
      </c>
      <c r="F81" s="76">
        <f>IF(ISBLANK(RaysafeData!G81),"",(RaysafeData!G81))</f>
        <v>0</v>
      </c>
      <c r="G81" s="110"/>
      <c r="H81" s="77" t="str">
        <f>IF(RaysafeData!K81="","",RaysafeData!K81*1000*($P$74^2/$O$74^2))</f>
        <v/>
      </c>
      <c r="I81" s="510" t="s">
        <v>107</v>
      </c>
      <c r="J81" s="118" t="str">
        <f>IF(H76="","",(H82-H76)/(H76))</f>
        <v/>
      </c>
      <c r="K81" s="64"/>
      <c r="L81" s="126"/>
      <c r="M81" s="99"/>
      <c r="N81" s="81" t="s">
        <v>113</v>
      </c>
      <c r="O81" s="195" t="s">
        <v>31</v>
      </c>
      <c r="P81" s="117" t="str">
        <f>IF(H86="","",AVERAGE(H86:H87))</f>
        <v/>
      </c>
      <c r="Q81" s="117" t="str">
        <f>IF(H96="","",AVERAGE(H96:H97))</f>
        <v/>
      </c>
      <c r="R81" s="117" t="str">
        <f>IF(P81="","",AVERAGE(P81:Q81))</f>
        <v/>
      </c>
      <c r="S81" s="118" t="str">
        <f t="shared" ref="S81:S82" si="22">IF(P81="","",(P81-R81)/R81)</f>
        <v/>
      </c>
      <c r="T81" s="195"/>
      <c r="U81" s="88"/>
      <c r="AA81" s="434"/>
      <c r="AB81" s="435"/>
      <c r="AC81" s="435"/>
      <c r="AD81" s="435"/>
      <c r="AE81" s="436"/>
      <c r="AH81" s="638"/>
      <c r="AI81" s="637"/>
      <c r="AJ81" s="647"/>
      <c r="AK81" s="197"/>
      <c r="AL81" s="274"/>
      <c r="AM81" s="632"/>
      <c r="AO81" s="655" t="s">
        <v>177</v>
      </c>
      <c r="AP81" s="609"/>
      <c r="AQ81" s="609"/>
      <c r="AR81" s="609"/>
      <c r="AS81" s="609"/>
      <c r="AT81" s="611"/>
    </row>
    <row r="82" spans="1:46" ht="12.75" x14ac:dyDescent="0.2">
      <c r="A82" s="76" t="str">
        <f>IF(ISBLANK(RaysafeData!B82),"",(RaysafeData!B82))</f>
        <v/>
      </c>
      <c r="B82" s="76">
        <f>IF(ISBLANK(RaysafeData!C82),"",(RaysafeData!C82))</f>
        <v>73</v>
      </c>
      <c r="C82" s="76" t="str">
        <f>IF(ISBLANK(RaysafeData!D82),"",(RaysafeData!D82))</f>
        <v>M</v>
      </c>
      <c r="D82" s="76">
        <f>IF(ISBLANK(RaysafeData!E82),"",(RaysafeData!E82))</f>
        <v>1</v>
      </c>
      <c r="E82" s="76">
        <f>IF(ISBLANK(RaysafeData!F82),"",(RaysafeData!F82))</f>
        <v>100</v>
      </c>
      <c r="F82" s="76">
        <f>IF(ISBLANK(RaysafeData!G82),"",(RaysafeData!G82))</f>
        <v>0</v>
      </c>
      <c r="G82" s="110"/>
      <c r="H82" s="77" t="str">
        <f>IF(RaysafeData!K82="","",RaysafeData!K82*1000*($P$74^2/$O$74^2))</f>
        <v/>
      </c>
      <c r="I82" s="510" t="s">
        <v>105</v>
      </c>
      <c r="J82" s="118" t="str">
        <f>IF(H76="","",(H80-H76)/(H76))</f>
        <v/>
      </c>
      <c r="K82" s="64"/>
      <c r="L82" s="126"/>
      <c r="M82" s="99"/>
      <c r="N82" s="81" t="s">
        <v>113</v>
      </c>
      <c r="O82" s="195" t="s">
        <v>32</v>
      </c>
      <c r="P82" s="117" t="str">
        <f>IF(H76="","",AVERAGE(H76:H79))</f>
        <v/>
      </c>
      <c r="Q82" s="117" t="str">
        <f>IF(H92="","",AVERAGE(H92:H93))</f>
        <v/>
      </c>
      <c r="R82" s="117" t="str">
        <f>IF(P82="","",AVERAGE(P82:Q82))</f>
        <v/>
      </c>
      <c r="S82" s="118" t="str">
        <f t="shared" si="22"/>
        <v/>
      </c>
      <c r="T82" s="195"/>
      <c r="U82" s="88"/>
      <c r="AA82" s="621" t="s">
        <v>405</v>
      </c>
      <c r="AB82" s="619"/>
      <c r="AC82" s="619"/>
      <c r="AD82" s="619"/>
      <c r="AE82" s="436"/>
      <c r="AH82" s="631"/>
      <c r="AI82" s="274"/>
      <c r="AJ82" s="197"/>
      <c r="AK82" s="197"/>
      <c r="AL82" s="274"/>
      <c r="AM82" s="632"/>
      <c r="AO82" s="655"/>
      <c r="AP82" s="609"/>
      <c r="AQ82" s="609"/>
      <c r="AR82" s="609"/>
      <c r="AS82" s="609"/>
      <c r="AT82" s="611"/>
    </row>
    <row r="83" spans="1:46" ht="12.75" x14ac:dyDescent="0.2">
      <c r="A83" s="76" t="str">
        <f>IF(ISBLANK(RaysafeData!B83),"",(RaysafeData!B83))</f>
        <v/>
      </c>
      <c r="B83" s="76">
        <f>IF(ISBLANK(RaysafeData!C83),"",(RaysafeData!C83))</f>
        <v>73</v>
      </c>
      <c r="C83" s="76" t="str">
        <f>IF(ISBLANK(RaysafeData!D83),"",(RaysafeData!D83))</f>
        <v>M</v>
      </c>
      <c r="D83" s="76">
        <f>IF(ISBLANK(RaysafeData!E83),"",(RaysafeData!E83))</f>
        <v>2</v>
      </c>
      <c r="E83" s="76">
        <f>IF(ISBLANK(RaysafeData!F83),"",(RaysafeData!F83))</f>
        <v>100</v>
      </c>
      <c r="F83" s="76">
        <f>IF(ISBLANK(RaysafeData!G83),"",(RaysafeData!G83))</f>
        <v>0</v>
      </c>
      <c r="G83" s="110"/>
      <c r="H83" s="77" t="str">
        <f>IF(RaysafeData!K83="","",RaysafeData!K83*1000*($P$74^2/$O$74^2))</f>
        <v/>
      </c>
      <c r="I83" s="70" t="s">
        <v>106</v>
      </c>
      <c r="J83" s="315" t="str">
        <f>IF(H76="","",(H81-H76)/(H76))</f>
        <v/>
      </c>
      <c r="K83" s="70"/>
      <c r="L83" s="129"/>
      <c r="M83" s="99"/>
      <c r="N83" s="90"/>
      <c r="O83" s="64"/>
      <c r="P83" s="64"/>
      <c r="Q83" s="64"/>
      <c r="R83" s="64" t="s">
        <v>111</v>
      </c>
      <c r="S83" s="118" t="str">
        <f>IF((COUNTIF(S80:S82,""))&gt;0,"",IF(MAX(S80:S82)&gt;ABS(MIN(S80:S82)),MAX(S80:S82),MIN(S80:S82)))</f>
        <v/>
      </c>
      <c r="T83" s="142" t="s">
        <v>97</v>
      </c>
      <c r="U83" s="122">
        <f>Toleranser!D21</f>
        <v>0.1</v>
      </c>
      <c r="AA83" s="437"/>
      <c r="AB83" s="438"/>
      <c r="AC83" s="438"/>
      <c r="AD83" s="438"/>
      <c r="AE83" s="439"/>
      <c r="AH83" s="613"/>
      <c r="AI83" s="64"/>
      <c r="AJ83" s="197"/>
      <c r="AK83" s="197"/>
      <c r="AL83" s="274"/>
      <c r="AM83" s="632"/>
      <c r="AO83" s="656"/>
      <c r="AP83" s="609"/>
      <c r="AQ83" s="609"/>
      <c r="AR83" s="609"/>
      <c r="AS83" s="609"/>
      <c r="AT83" s="611"/>
    </row>
    <row r="84" spans="1:46" ht="12.75" x14ac:dyDescent="0.2">
      <c r="A84" s="76" t="str">
        <f>IF(ISBLANK(RaysafeData!B84),"",(RaysafeData!B84))</f>
        <v/>
      </c>
      <c r="B84" s="76">
        <f>IF(ISBLANK(RaysafeData!C84),"",(RaysafeData!C84))</f>
        <v>73</v>
      </c>
      <c r="C84" s="76" t="str">
        <f>IF(ISBLANK(RaysafeData!D84),"",(RaysafeData!D84))</f>
        <v>V</v>
      </c>
      <c r="D84" s="76">
        <f>IF(ISBLANK(RaysafeData!E84),"",(RaysafeData!E84))</f>
        <v>0</v>
      </c>
      <c r="E84" s="76">
        <f>IF(ISBLANK(RaysafeData!F84),"",(RaysafeData!F84))</f>
        <v>100</v>
      </c>
      <c r="F84" s="76">
        <f>IF(ISBLANK(RaysafeData!G84),"",(RaysafeData!G84))</f>
        <v>0</v>
      </c>
      <c r="G84" s="110"/>
      <c r="H84" s="77" t="str">
        <f>IF(RaysafeData!K84="","",RaysafeData!K84*1000*($P$74^2/$O$74^2))</f>
        <v/>
      </c>
      <c r="I84" s="95"/>
      <c r="J84" s="143"/>
      <c r="K84" s="95"/>
      <c r="L84" s="95"/>
      <c r="M84" s="99"/>
      <c r="N84" s="96"/>
      <c r="O84" s="97"/>
      <c r="P84" s="97"/>
      <c r="Q84" s="97"/>
      <c r="R84" s="97"/>
      <c r="S84" s="123" t="str">
        <f>IF(S83="","",IF(ABS(S83)&gt;U83,"Fail","Pass"))</f>
        <v/>
      </c>
      <c r="T84" s="97"/>
      <c r="U84" s="98"/>
      <c r="AD84" s="520"/>
      <c r="AH84" s="635"/>
      <c r="AI84" s="636"/>
      <c r="AJ84" s="647"/>
      <c r="AK84" s="647"/>
      <c r="AL84" s="274"/>
      <c r="AM84" s="632"/>
      <c r="AO84" s="656"/>
      <c r="AP84" s="609"/>
      <c r="AQ84" s="609"/>
      <c r="AR84" s="609"/>
      <c r="AS84" s="609"/>
      <c r="AT84" s="611"/>
    </row>
    <row r="85" spans="1:46" ht="13.5" thickBot="1" x14ac:dyDescent="0.25">
      <c r="A85" s="76" t="str">
        <f>IF(ISBLANK(RaysafeData!B85),"",(RaysafeData!B85))</f>
        <v/>
      </c>
      <c r="B85" s="76">
        <f>IF(ISBLANK(RaysafeData!C85),"",(RaysafeData!C85))</f>
        <v>73</v>
      </c>
      <c r="C85" s="76" t="str">
        <f>IF(ISBLANK(RaysafeData!D85),"",(RaysafeData!D85))</f>
        <v>V</v>
      </c>
      <c r="D85" s="76">
        <f>IF(ISBLANK(RaysafeData!E85),"",(RaysafeData!E85))</f>
        <v>0</v>
      </c>
      <c r="E85" s="76">
        <f>IF(ISBLANK(RaysafeData!F85),"",(RaysafeData!F85))</f>
        <v>100</v>
      </c>
      <c r="F85" s="76">
        <f>IF(ISBLANK(RaysafeData!G85),"",(RaysafeData!G85))</f>
        <v>0</v>
      </c>
      <c r="G85" s="110"/>
      <c r="H85" s="77" t="str">
        <f>IF(RaysafeData!K85="","",RaysafeData!K85*1000*($P$74^2/$O$74^2))</f>
        <v/>
      </c>
      <c r="I85" s="95"/>
      <c r="J85" s="143"/>
      <c r="K85" s="95"/>
      <c r="L85" s="95"/>
      <c r="M85" s="99"/>
      <c r="AD85" s="520"/>
      <c r="AH85" s="633" t="s">
        <v>388</v>
      </c>
      <c r="AI85" s="634" t="s">
        <v>389</v>
      </c>
      <c r="AJ85" s="634" t="s">
        <v>53</v>
      </c>
      <c r="AK85" s="634" t="s">
        <v>390</v>
      </c>
      <c r="AL85" s="274"/>
      <c r="AM85" s="632"/>
      <c r="AO85" s="657"/>
      <c r="AP85" s="658"/>
      <c r="AQ85" s="658"/>
      <c r="AR85" s="658"/>
      <c r="AS85" s="658"/>
      <c r="AT85" s="612"/>
    </row>
    <row r="86" spans="1:46" ht="12.75" x14ac:dyDescent="0.2">
      <c r="A86" s="76" t="str">
        <f>IF(ISBLANK(RaysafeData!B86),"",(RaysafeData!B86))</f>
        <v/>
      </c>
      <c r="B86" s="76">
        <f>IF(ISBLANK(RaysafeData!C86),"",(RaysafeData!C86))</f>
        <v>73</v>
      </c>
      <c r="C86" s="76" t="str">
        <f>IF(ISBLANK(RaysafeData!D86),"",(RaysafeData!D86))</f>
        <v>H</v>
      </c>
      <c r="D86" s="76">
        <f>IF(ISBLANK(RaysafeData!E86),"",(RaysafeData!E86))</f>
        <v>0</v>
      </c>
      <c r="E86" s="76">
        <f>IF(ISBLANK(RaysafeData!F86),"",(RaysafeData!F86))</f>
        <v>100</v>
      </c>
      <c r="F86" s="76">
        <f>IF(ISBLANK(RaysafeData!G86),"",(RaysafeData!G86))</f>
        <v>0</v>
      </c>
      <c r="G86" s="110"/>
      <c r="H86" s="77" t="str">
        <f>IF(RaysafeData!K86="","",RaysafeData!K86*1000*($P$74^2/$O$74^2))</f>
        <v/>
      </c>
      <c r="I86" s="140" t="s">
        <v>208</v>
      </c>
      <c r="J86" s="144"/>
      <c r="K86" s="124"/>
      <c r="L86" s="114"/>
      <c r="M86" s="99"/>
      <c r="N86" s="139" t="s">
        <v>249</v>
      </c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33"/>
      <c r="AA86" s="782"/>
      <c r="AB86" s="782"/>
      <c r="AC86" s="782"/>
      <c r="AD86" s="782"/>
      <c r="AE86" s="782"/>
      <c r="AF86" s="292"/>
      <c r="AG86" s="292"/>
      <c r="AH86" s="635" t="s">
        <v>30</v>
      </c>
      <c r="AI86" s="636" t="s">
        <v>30</v>
      </c>
      <c r="AJ86" s="652"/>
      <c r="AK86" s="652"/>
      <c r="AL86" s="274"/>
      <c r="AM86" s="632"/>
    </row>
    <row r="87" spans="1:46" ht="12.75" customHeight="1" x14ac:dyDescent="0.2">
      <c r="A87" s="76" t="str">
        <f>IF(ISBLANK(RaysafeData!B87),"",(RaysafeData!B87))</f>
        <v/>
      </c>
      <c r="B87" s="76">
        <f>IF(ISBLANK(RaysafeData!C87),"",(RaysafeData!C87))</f>
        <v>73</v>
      </c>
      <c r="C87" s="76" t="str">
        <f>IF(ISBLANK(RaysafeData!D87),"",(RaysafeData!D87))</f>
        <v>H</v>
      </c>
      <c r="D87" s="76">
        <f>IF(ISBLANK(RaysafeData!E87),"",(RaysafeData!E87))</f>
        <v>0</v>
      </c>
      <c r="E87" s="76">
        <f>IF(ISBLANK(RaysafeData!F87),"",(RaysafeData!F87))</f>
        <v>100</v>
      </c>
      <c r="F87" s="76">
        <f>IF(ISBLANK(RaysafeData!G87),"",(RaysafeData!G87))</f>
        <v>0</v>
      </c>
      <c r="G87" s="110"/>
      <c r="H87" s="77" t="str">
        <f>IF(RaysafeData!K87="","",RaysafeData!K87*1000*($P$74^2/$O$74^2))</f>
        <v/>
      </c>
      <c r="I87" s="64" t="s">
        <v>121</v>
      </c>
      <c r="J87" s="132" t="str">
        <f>IF(OR(H76="",H77="",H78="",H79="",H84="",H87=""),"",AVERAGE(H76:H79,H84:H87))</f>
        <v/>
      </c>
      <c r="K87" s="64" t="s">
        <v>52</v>
      </c>
      <c r="L87" s="82"/>
      <c r="M87" s="99"/>
      <c r="N87" s="307" t="s">
        <v>216</v>
      </c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82"/>
      <c r="AA87" s="794"/>
      <c r="AB87" s="794"/>
      <c r="AC87" s="781"/>
      <c r="AD87" s="782"/>
      <c r="AE87" s="782"/>
      <c r="AF87" s="781"/>
      <c r="AG87" s="795"/>
      <c r="AH87" s="635" t="s">
        <v>30</v>
      </c>
      <c r="AI87" s="636" t="s">
        <v>31</v>
      </c>
      <c r="AJ87" s="652"/>
      <c r="AK87" s="652"/>
      <c r="AL87" s="274"/>
      <c r="AM87" s="639"/>
    </row>
    <row r="88" spans="1:46" ht="13.5" customHeight="1" x14ac:dyDescent="0.2">
      <c r="A88" s="76" t="str">
        <f>IF(ISBLANK(RaysafeData!B88),"",(RaysafeData!B88))</f>
        <v/>
      </c>
      <c r="B88" s="76">
        <f>IF(ISBLANK(RaysafeData!C88),"",(RaysafeData!C88))</f>
        <v>73</v>
      </c>
      <c r="C88" s="76" t="str">
        <f>IF(ISBLANK(RaysafeData!D88),"",(RaysafeData!D88))</f>
        <v>V,H,M</v>
      </c>
      <c r="D88" s="76">
        <f>IF(ISBLANK(RaysafeData!E88),"",(RaysafeData!E88))</f>
        <v>0</v>
      </c>
      <c r="E88" s="76">
        <f>IF(ISBLANK(RaysafeData!F88),"",(RaysafeData!F88))</f>
        <v>100</v>
      </c>
      <c r="F88" s="76">
        <f>IF(ISBLANK(RaysafeData!G88),"",(RaysafeData!G88))</f>
        <v>0</v>
      </c>
      <c r="G88" s="110"/>
      <c r="H88" s="77" t="str">
        <f>IF(RaysafeData!K88="","",RaysafeData!K88*1000*($P$74^2/$O$74^2))</f>
        <v/>
      </c>
      <c r="I88" s="510" t="s">
        <v>30</v>
      </c>
      <c r="J88" s="134" t="str">
        <f>IF(J87="","",(AVERAGE(H84:H85)-J87)/J87)</f>
        <v/>
      </c>
      <c r="K88" s="64" t="s">
        <v>209</v>
      </c>
      <c r="L88" s="82"/>
      <c r="M88" s="99"/>
      <c r="N88" s="75" t="s">
        <v>2</v>
      </c>
      <c r="O88" s="75" t="s">
        <v>54</v>
      </c>
      <c r="P88" s="64"/>
      <c r="Q88" s="64"/>
      <c r="R88" s="64"/>
      <c r="S88" s="64"/>
      <c r="T88" s="64"/>
      <c r="U88" s="64"/>
      <c r="V88" s="64"/>
      <c r="W88" s="64"/>
      <c r="X88" s="64"/>
      <c r="Y88" s="82"/>
      <c r="AA88" s="794"/>
      <c r="AB88" s="794"/>
      <c r="AC88" s="781"/>
      <c r="AD88" s="782"/>
      <c r="AE88" s="782"/>
      <c r="AF88" s="795"/>
      <c r="AG88" s="795"/>
      <c r="AH88" s="635" t="s">
        <v>32</v>
      </c>
      <c r="AI88" s="636" t="s">
        <v>32</v>
      </c>
      <c r="AJ88" s="652"/>
      <c r="AK88" s="652"/>
      <c r="AL88" s="274"/>
      <c r="AM88" s="632"/>
    </row>
    <row r="89" spans="1:46" ht="12.75" x14ac:dyDescent="0.2">
      <c r="A89" s="76" t="str">
        <f>IF(ISBLANK(RaysafeData!B89),"",(RaysafeData!B89))</f>
        <v/>
      </c>
      <c r="B89" s="76">
        <f>IF(ISBLANK(RaysafeData!C89),"",(RaysafeData!C89))</f>
        <v>73</v>
      </c>
      <c r="C89" s="76" t="str">
        <f>IF(ISBLANK(RaysafeData!D89),"",(RaysafeData!D89))</f>
        <v>V,H,M</v>
      </c>
      <c r="D89" s="76">
        <f>IF(ISBLANK(RaysafeData!E89),"",(RaysafeData!E89))</f>
        <v>0</v>
      </c>
      <c r="E89" s="76">
        <f>IF(ISBLANK(RaysafeData!F89),"",(RaysafeData!F89))</f>
        <v>100</v>
      </c>
      <c r="F89" s="76">
        <f>IF(ISBLANK(RaysafeData!G89),"",(RaysafeData!G89))</f>
        <v>0</v>
      </c>
      <c r="G89" s="110"/>
      <c r="H89" s="77" t="str">
        <f>IF(RaysafeData!K89="","",RaysafeData!K89*1000*($P$74^2/$O$74^2))</f>
        <v/>
      </c>
      <c r="I89" s="510" t="s">
        <v>31</v>
      </c>
      <c r="J89" s="134" t="str">
        <f>IF(J87="","",(AVERAGE(H86:H87)-J87)/J87)</f>
        <v/>
      </c>
      <c r="K89" s="64" t="s">
        <v>209</v>
      </c>
      <c r="L89" s="82"/>
      <c r="N89" s="308">
        <f>B76</f>
        <v>73</v>
      </c>
      <c r="O89" s="153" t="str">
        <f>IF(H76="","",H76)</f>
        <v/>
      </c>
      <c r="P89" s="64"/>
      <c r="Q89" s="64"/>
      <c r="R89" s="64"/>
      <c r="S89" s="64"/>
      <c r="T89" s="64"/>
      <c r="U89" s="64"/>
      <c r="V89" s="64"/>
      <c r="W89" s="64"/>
      <c r="X89" s="64"/>
      <c r="Y89" s="82"/>
      <c r="AA89" s="649"/>
      <c r="AB89" s="292"/>
      <c r="AC89" s="530"/>
      <c r="AD89" s="292"/>
      <c r="AE89" s="165"/>
      <c r="AF89" s="292"/>
      <c r="AG89" s="292"/>
      <c r="AH89" s="635"/>
      <c r="AI89" s="636"/>
      <c r="AJ89" s="274"/>
      <c r="AK89" s="274"/>
      <c r="AL89" s="274"/>
      <c r="AM89" s="632"/>
    </row>
    <row r="90" spans="1:46" ht="13.5" thickBot="1" x14ac:dyDescent="0.25">
      <c r="A90" s="108"/>
      <c r="B90" s="446"/>
      <c r="C90" s="445" t="s">
        <v>252</v>
      </c>
      <c r="D90" s="446"/>
      <c r="E90" s="446"/>
      <c r="F90" s="195"/>
      <c r="G90" s="195"/>
      <c r="I90" s="81" t="s">
        <v>32</v>
      </c>
      <c r="J90" s="134" t="str">
        <f>IF(J87="","",(AVERAGE(H76:H79)-J87)/J87)</f>
        <v/>
      </c>
      <c r="K90" s="64" t="s">
        <v>209</v>
      </c>
      <c r="L90" s="82"/>
      <c r="M90" s="99"/>
      <c r="N90" s="308">
        <f>B73</f>
        <v>90</v>
      </c>
      <c r="O90" s="153" t="str">
        <f>IF(H73="","",H73)</f>
        <v/>
      </c>
      <c r="P90" s="64"/>
      <c r="Q90" s="64"/>
      <c r="R90" s="64"/>
      <c r="S90" s="64"/>
      <c r="T90" s="64"/>
      <c r="U90" s="64"/>
      <c r="V90" s="64"/>
      <c r="W90" s="64"/>
      <c r="X90" s="64"/>
      <c r="Y90" s="82"/>
      <c r="AA90" s="649"/>
      <c r="AB90" s="292"/>
      <c r="AC90" s="530"/>
      <c r="AD90" s="292"/>
      <c r="AE90" s="165"/>
      <c r="AF90" s="292"/>
      <c r="AG90" s="292"/>
      <c r="AH90" s="635"/>
      <c r="AI90" s="636"/>
      <c r="AJ90" s="274"/>
      <c r="AK90" s="274"/>
      <c r="AL90" s="274"/>
      <c r="AM90" s="632"/>
    </row>
    <row r="91" spans="1:46" ht="12" thickBot="1" x14ac:dyDescent="0.25">
      <c r="A91" s="108"/>
      <c r="B91" s="70" t="s">
        <v>55</v>
      </c>
      <c r="C91" s="70" t="s">
        <v>98</v>
      </c>
      <c r="D91" s="70" t="s">
        <v>85</v>
      </c>
      <c r="E91" s="70" t="s">
        <v>77</v>
      </c>
      <c r="F91" s="195" t="s">
        <v>53</v>
      </c>
      <c r="G91" s="110"/>
      <c r="H91" s="519" t="s">
        <v>52</v>
      </c>
      <c r="I91" s="81" t="s">
        <v>29</v>
      </c>
      <c r="J91" s="134" t="e">
        <f>(AVERAGE(H88:H89)-J87)/J87</f>
        <v>#DIV/0!</v>
      </c>
      <c r="K91" s="95"/>
      <c r="L91" s="82"/>
      <c r="M91" s="99"/>
      <c r="N91" s="308">
        <f>B74</f>
        <v>109</v>
      </c>
      <c r="O91" s="153" t="str">
        <f t="shared" ref="O91:O92" si="23">IF(H74="","",H74)</f>
        <v/>
      </c>
      <c r="P91" s="64"/>
      <c r="Q91" s="64"/>
      <c r="R91" s="64"/>
      <c r="S91" s="64"/>
      <c r="T91" s="64"/>
      <c r="U91" s="64"/>
      <c r="V91" s="64"/>
      <c r="W91" s="64"/>
      <c r="X91" s="64"/>
      <c r="Y91" s="82"/>
      <c r="AA91" s="292"/>
      <c r="AB91" s="292"/>
      <c r="AC91" s="165"/>
      <c r="AD91" s="650"/>
      <c r="AE91" s="292"/>
      <c r="AF91" s="292"/>
      <c r="AG91" s="292"/>
      <c r="AH91" s="788" t="s">
        <v>396</v>
      </c>
      <c r="AI91" s="789"/>
      <c r="AJ91" s="776" t="s">
        <v>400</v>
      </c>
      <c r="AK91" s="777"/>
      <c r="AL91" s="778"/>
      <c r="AM91" s="614"/>
    </row>
    <row r="92" spans="1:46" ht="12" thickBot="1" x14ac:dyDescent="0.25">
      <c r="A92" s="76" t="str">
        <f>IF(ISBLANK(RaysafeData!B92),"",(RaysafeData!B92))</f>
        <v/>
      </c>
      <c r="B92" s="76">
        <f>IF(ISBLANK(RaysafeData!C92),"",(RaysafeData!C92))</f>
        <v>73</v>
      </c>
      <c r="C92" s="76" t="str">
        <f>IF(ISBLANK(RaysafeData!D92),"",(RaysafeData!D92))</f>
        <v>M</v>
      </c>
      <c r="D92" s="76">
        <f>IF(ISBLANK(RaysafeData!E92),"",(RaysafeData!E92))</f>
        <v>0</v>
      </c>
      <c r="E92" s="76">
        <f>IF(ISBLANK(RaysafeData!F92),"",(RaysafeData!F92))</f>
        <v>100</v>
      </c>
      <c r="F92" s="76">
        <f>IF(ISBLANK(RaysafeData!G92),"",(RaysafeData!G92))</f>
        <v>0</v>
      </c>
      <c r="G92" s="110"/>
      <c r="H92" s="77" t="str">
        <f>IF(RaysafeData!K92="","",RaysafeData!K92*1000*($P$74^2/$O$74^2))</f>
        <v/>
      </c>
      <c r="I92" s="81" t="s">
        <v>111</v>
      </c>
      <c r="J92" s="134" t="str">
        <f>IF(J87="","",IF(MAX(J88:J90)&gt;ABS(MIN(J88:J90)),MAX(J88:J90),MIN(J88:J90)))</f>
        <v/>
      </c>
      <c r="K92" s="142" t="s">
        <v>97</v>
      </c>
      <c r="L92" s="120">
        <f>Toleranser!D22</f>
        <v>0.1</v>
      </c>
      <c r="M92" s="99"/>
      <c r="N92" s="308">
        <f>B75</f>
        <v>117</v>
      </c>
      <c r="O92" s="153" t="str">
        <f t="shared" si="23"/>
        <v/>
      </c>
      <c r="P92" s="64"/>
      <c r="Q92" s="64"/>
      <c r="R92" s="64"/>
      <c r="S92" s="64"/>
      <c r="T92" s="64"/>
      <c r="U92" s="64"/>
      <c r="V92" s="64"/>
      <c r="W92" s="64"/>
      <c r="X92" s="64"/>
      <c r="Y92" s="82"/>
      <c r="AA92" s="292"/>
      <c r="AB92" s="292"/>
      <c r="AC92" s="292"/>
      <c r="AD92" s="292"/>
      <c r="AE92" s="292"/>
      <c r="AF92" s="292"/>
      <c r="AG92" s="292"/>
      <c r="AH92" s="665" t="str">
        <f>IF(RaysafeData!G105=0,"",RaysafeData!G105)</f>
        <v/>
      </c>
      <c r="AI92" s="666" t="str">
        <f>IF(AH92="","",(IF(AH92&lt;600,"Pass","Feil")))</f>
        <v/>
      </c>
      <c r="AJ92" s="64"/>
      <c r="AK92" s="64"/>
      <c r="AL92" s="64"/>
      <c r="AM92" s="614"/>
    </row>
    <row r="93" spans="1:46" x14ac:dyDescent="0.2">
      <c r="A93" s="76" t="str">
        <f>IF(ISBLANK(RaysafeData!B93),"",(RaysafeData!B93))</f>
        <v/>
      </c>
      <c r="B93" s="76">
        <f>IF(ISBLANK(RaysafeData!C93),"",(RaysafeData!C93))</f>
        <v>73</v>
      </c>
      <c r="C93" s="76" t="str">
        <f>IF(ISBLANK(RaysafeData!D93),"",(RaysafeData!D93))</f>
        <v>M</v>
      </c>
      <c r="D93" s="76">
        <f>IF(ISBLANK(RaysafeData!E93),"",(RaysafeData!E93))</f>
        <v>0</v>
      </c>
      <c r="E93" s="76">
        <f>IF(ISBLANK(RaysafeData!F93),"",(RaysafeData!F93))</f>
        <v>100</v>
      </c>
      <c r="F93" s="76">
        <f>IF(ISBLANK(RaysafeData!G93),"",(RaysafeData!G93))</f>
        <v>0</v>
      </c>
      <c r="G93" s="110"/>
      <c r="H93" s="77" t="str">
        <f>IF(RaysafeData!K93="","",RaysafeData!K93*1000*($P$74^2/$O$74^2))</f>
        <v/>
      </c>
      <c r="I93" s="136"/>
      <c r="J93" s="123" t="str">
        <f>IF(J92="","",IF(J92&gt;L92,"Fail","Pass"))</f>
        <v/>
      </c>
      <c r="K93" s="97"/>
      <c r="L93" s="98"/>
      <c r="M93" s="99"/>
      <c r="N93" s="90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82"/>
      <c r="AA93" s="797"/>
      <c r="AB93" s="797"/>
      <c r="AC93" s="292"/>
      <c r="AD93" s="650"/>
      <c r="AE93" s="292"/>
      <c r="AF93" s="292"/>
      <c r="AG93" s="292"/>
      <c r="AH93" s="613"/>
      <c r="AI93" s="64"/>
      <c r="AJ93" s="64"/>
      <c r="AK93" s="64"/>
      <c r="AL93" s="64"/>
      <c r="AM93" s="614"/>
    </row>
    <row r="94" spans="1:46" ht="12" thickBot="1" x14ac:dyDescent="0.25">
      <c r="A94" s="76" t="str">
        <f>IF(ISBLANK(RaysafeData!B94),"",(RaysafeData!B94))</f>
        <v/>
      </c>
      <c r="B94" s="76">
        <f>IF(ISBLANK(RaysafeData!C94),"",(RaysafeData!C94))</f>
        <v>73</v>
      </c>
      <c r="C94" s="76" t="str">
        <f>IF(ISBLANK(RaysafeData!D94),"",(RaysafeData!D94))</f>
        <v>V</v>
      </c>
      <c r="D94" s="76">
        <f>IF(ISBLANK(RaysafeData!E94),"",(RaysafeData!E94))</f>
        <v>0</v>
      </c>
      <c r="E94" s="76">
        <f>IF(ISBLANK(RaysafeData!F94),"",(RaysafeData!F94))</f>
        <v>100</v>
      </c>
      <c r="F94" s="76">
        <f>IF(ISBLANK(RaysafeData!G94),"",(RaysafeData!G94))</f>
        <v>0</v>
      </c>
      <c r="G94" s="110"/>
      <c r="H94" s="77" t="str">
        <f>IF(RaysafeData!K94="","",RaysafeData!K94*1000*($P$74^2/$O$74^2))</f>
        <v/>
      </c>
      <c r="I94" s="99"/>
      <c r="J94" s="99"/>
      <c r="K94" s="99"/>
      <c r="L94" s="99"/>
      <c r="M94" s="99"/>
      <c r="N94" s="90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82"/>
      <c r="AA94" s="651"/>
      <c r="AB94" s="651"/>
      <c r="AC94" s="292"/>
      <c r="AD94" s="292"/>
      <c r="AE94" s="292"/>
      <c r="AF94" s="292"/>
      <c r="AG94" s="292"/>
      <c r="AH94" s="653"/>
      <c r="AI94" s="105"/>
      <c r="AJ94" s="105"/>
      <c r="AK94" s="105"/>
      <c r="AL94" s="105"/>
      <c r="AM94" s="615"/>
    </row>
    <row r="95" spans="1:46" x14ac:dyDescent="0.2">
      <c r="A95" s="76" t="str">
        <f>IF(ISBLANK(RaysafeData!B95),"",(RaysafeData!B95))</f>
        <v/>
      </c>
      <c r="B95" s="76">
        <f>IF(ISBLANK(RaysafeData!C95),"",(RaysafeData!C95))</f>
        <v>73</v>
      </c>
      <c r="C95" s="76" t="str">
        <f>IF(ISBLANK(RaysafeData!D95),"",(RaysafeData!D95))</f>
        <v>V</v>
      </c>
      <c r="D95" s="76">
        <f>IF(ISBLANK(RaysafeData!E95),"",(RaysafeData!E95))</f>
        <v>0</v>
      </c>
      <c r="E95" s="76">
        <f>IF(ISBLANK(RaysafeData!F95),"",(RaysafeData!F95))</f>
        <v>100</v>
      </c>
      <c r="F95" s="76">
        <f>IF(ISBLANK(RaysafeData!G95),"",(RaysafeData!G95))</f>
        <v>0</v>
      </c>
      <c r="G95" s="110"/>
      <c r="H95" s="77" t="str">
        <f>IF(RaysafeData!K95="","",RaysafeData!K95*1000*($P$74^2/$O$74^2))</f>
        <v/>
      </c>
      <c r="I95" s="99"/>
      <c r="J95" s="99"/>
      <c r="K95" s="99"/>
      <c r="L95" s="99"/>
      <c r="M95" s="99"/>
      <c r="N95" s="90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82"/>
    </row>
    <row r="96" spans="1:46" x14ac:dyDescent="0.2">
      <c r="A96" s="76" t="str">
        <f>IF(ISBLANK(RaysafeData!B96),"",(RaysafeData!B96))</f>
        <v/>
      </c>
      <c r="B96" s="76">
        <f>IF(ISBLANK(RaysafeData!C96),"",(RaysafeData!C96))</f>
        <v>73</v>
      </c>
      <c r="C96" s="76" t="str">
        <f>IF(ISBLANK(RaysafeData!D96),"",(RaysafeData!D96))</f>
        <v>H</v>
      </c>
      <c r="D96" s="76">
        <f>IF(ISBLANK(RaysafeData!E96),"",(RaysafeData!E96))</f>
        <v>0</v>
      </c>
      <c r="E96" s="76">
        <f>IF(ISBLANK(RaysafeData!F96),"",(RaysafeData!F96))</f>
        <v>100</v>
      </c>
      <c r="F96" s="76">
        <f>IF(ISBLANK(RaysafeData!G96),"",(RaysafeData!G96))</f>
        <v>0</v>
      </c>
      <c r="G96" s="110"/>
      <c r="H96" s="77" t="str">
        <f>IF(RaysafeData!K96="","",RaysafeData!K96*1000*($P$74^2/$O$74^2))</f>
        <v/>
      </c>
      <c r="I96" s="99"/>
      <c r="J96" s="99"/>
      <c r="K96" s="99"/>
      <c r="L96" s="99"/>
      <c r="M96" s="99"/>
      <c r="N96" s="96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8"/>
    </row>
    <row r="97" spans="1:21" s="105" customFormat="1" ht="12" thickBot="1" x14ac:dyDescent="0.25">
      <c r="A97" s="101" t="str">
        <f>IF(ISBLANK(RaysafeData!B97),"",(RaysafeData!B97))</f>
        <v/>
      </c>
      <c r="B97" s="101">
        <f>IF(ISBLANK(RaysafeData!C97),"",(RaysafeData!C97))</f>
        <v>73</v>
      </c>
      <c r="C97" s="101" t="str">
        <f>IF(ISBLANK(RaysafeData!D97),"",(RaysafeData!D97))</f>
        <v>H</v>
      </c>
      <c r="D97" s="101">
        <f>IF(ISBLANK(RaysafeData!E97),"",(RaysafeData!E97))</f>
        <v>0</v>
      </c>
      <c r="E97" s="101">
        <f>IF(ISBLANK(RaysafeData!F97),"",(RaysafeData!F97))</f>
        <v>100</v>
      </c>
      <c r="F97" s="101">
        <f>IF(ISBLANK(RaysafeData!G97),"",(RaysafeData!G97))</f>
        <v>0</v>
      </c>
      <c r="G97" s="137"/>
      <c r="H97" s="102" t="str">
        <f>IF(RaysafeData!K97="","",RaysafeData!K97*1000*($P$74^2/$O$74^2))</f>
        <v/>
      </c>
      <c r="I97" s="138"/>
      <c r="J97" s="138"/>
      <c r="K97" s="138"/>
      <c r="L97" s="138"/>
      <c r="M97" s="138"/>
    </row>
    <row r="98" spans="1:21" s="64" customFormat="1" ht="12" thickBot="1" x14ac:dyDescent="0.25">
      <c r="A98" s="108"/>
      <c r="B98" s="145"/>
      <c r="C98" s="145"/>
      <c r="D98" s="145"/>
      <c r="E98" s="145"/>
      <c r="F98" s="108"/>
      <c r="G98" s="110"/>
      <c r="H98" s="91"/>
      <c r="I98" s="95"/>
      <c r="J98" s="95"/>
      <c r="K98" s="95"/>
      <c r="L98" s="95"/>
      <c r="M98" s="95"/>
    </row>
    <row r="99" spans="1:21" s="64" customFormat="1" ht="13.5" thickBot="1" x14ac:dyDescent="0.25">
      <c r="A99" s="108"/>
      <c r="B99" s="785" t="s">
        <v>130</v>
      </c>
      <c r="C99" s="786"/>
      <c r="D99" s="786"/>
      <c r="E99" s="787"/>
      <c r="F99" s="108"/>
      <c r="G99" s="110"/>
      <c r="H99" s="91"/>
      <c r="I99" s="95"/>
      <c r="J99" s="95"/>
      <c r="K99" s="95"/>
      <c r="L99" s="95"/>
      <c r="M99" s="95"/>
    </row>
    <row r="100" spans="1:21" s="64" customFormat="1" ht="12.75" x14ac:dyDescent="0.2">
      <c r="A100" s="108"/>
      <c r="B100" s="146" t="s">
        <v>131</v>
      </c>
      <c r="C100" s="108"/>
      <c r="D100" s="108"/>
      <c r="E100" s="239"/>
      <c r="F100" s="149"/>
      <c r="G100" s="110"/>
      <c r="H100" s="91"/>
      <c r="I100" s="95"/>
      <c r="J100" s="95"/>
      <c r="P100" s="456"/>
      <c r="Q100" s="431" t="s">
        <v>256</v>
      </c>
      <c r="R100" s="432"/>
      <c r="S100" s="432"/>
      <c r="T100" s="432"/>
      <c r="U100" s="433"/>
    </row>
    <row r="101" spans="1:21" s="64" customFormat="1" x14ac:dyDescent="0.2">
      <c r="A101" s="108"/>
      <c r="B101" s="108"/>
      <c r="C101" s="108"/>
      <c r="D101" s="108"/>
      <c r="E101" s="147" t="str">
        <f>IF(E100="","",(IF(E100="ja","Pass","Fail")))</f>
        <v/>
      </c>
      <c r="F101" s="149"/>
      <c r="G101" s="110"/>
      <c r="H101" s="91"/>
      <c r="I101" s="95"/>
      <c r="P101" s="456"/>
      <c r="Q101" s="434"/>
      <c r="R101" s="435"/>
      <c r="S101" s="435"/>
      <c r="T101" s="435"/>
      <c r="U101" s="436"/>
    </row>
    <row r="102" spans="1:21" s="64" customFormat="1" ht="12.75" x14ac:dyDescent="0.2">
      <c r="A102" s="108"/>
      <c r="B102" s="146" t="s">
        <v>132</v>
      </c>
      <c r="C102" s="108"/>
      <c r="D102" s="108"/>
      <c r="E102" s="240"/>
      <c r="F102" s="149"/>
      <c r="G102" s="110"/>
      <c r="H102" s="91"/>
      <c r="I102" s="95"/>
      <c r="P102" s="456"/>
      <c r="Q102" s="434" t="s">
        <v>439</v>
      </c>
      <c r="R102" s="435"/>
      <c r="S102" s="435"/>
      <c r="T102" s="435"/>
      <c r="U102" s="436"/>
    </row>
    <row r="103" spans="1:21" s="64" customFormat="1" x14ac:dyDescent="0.2">
      <c r="A103" s="108"/>
      <c r="B103" s="108"/>
      <c r="C103" s="108"/>
      <c r="D103" s="108"/>
      <c r="E103" s="147" t="str">
        <f>IF(E102="","",(IF(E102="ja","Pass","Fail")))</f>
        <v/>
      </c>
      <c r="F103" s="149"/>
      <c r="G103" s="110"/>
      <c r="H103" s="91"/>
      <c r="I103" s="95"/>
      <c r="P103" s="456"/>
      <c r="Q103" s="434" t="s">
        <v>438</v>
      </c>
      <c r="R103" s="435"/>
      <c r="S103" s="435"/>
      <c r="T103" s="435"/>
      <c r="U103" s="436"/>
    </row>
    <row r="104" spans="1:21" s="64" customFormat="1" ht="12.75" x14ac:dyDescent="0.2">
      <c r="A104" s="108"/>
      <c r="B104" s="146" t="s">
        <v>134</v>
      </c>
      <c r="C104" s="108"/>
      <c r="D104" s="108"/>
      <c r="E104" s="148"/>
      <c r="F104" s="108"/>
      <c r="G104" s="110"/>
      <c r="H104" s="91"/>
      <c r="I104" s="95"/>
      <c r="P104" s="456"/>
      <c r="Q104" s="434" t="s">
        <v>485</v>
      </c>
      <c r="R104" s="435"/>
      <c r="S104" s="435"/>
      <c r="T104" s="435"/>
      <c r="U104" s="436"/>
    </row>
    <row r="105" spans="1:21" s="64" customFormat="1" x14ac:dyDescent="0.2">
      <c r="A105" s="108"/>
      <c r="C105" s="149" t="s">
        <v>133</v>
      </c>
      <c r="D105" s="108"/>
      <c r="E105" s="240"/>
      <c r="F105" s="108"/>
      <c r="G105" s="110"/>
      <c r="H105" s="91"/>
      <c r="I105" s="95"/>
      <c r="P105" s="456"/>
      <c r="Q105" s="434"/>
      <c r="R105" s="435"/>
      <c r="S105" s="435"/>
      <c r="T105" s="435"/>
      <c r="U105" s="436"/>
    </row>
    <row r="106" spans="1:21" s="64" customFormat="1" x14ac:dyDescent="0.2">
      <c r="A106" s="108"/>
      <c r="B106" s="150" t="s">
        <v>137</v>
      </c>
      <c r="C106" s="604" t="s">
        <v>372</v>
      </c>
      <c r="D106" s="604" t="s">
        <v>373</v>
      </c>
      <c r="E106" s="151" t="s">
        <v>374</v>
      </c>
      <c r="F106" s="604" t="s">
        <v>375</v>
      </c>
      <c r="G106" s="110"/>
      <c r="H106" s="91"/>
      <c r="I106" s="95"/>
      <c r="P106" s="456"/>
      <c r="Q106" s="434"/>
      <c r="R106" s="435"/>
      <c r="S106" s="435"/>
      <c r="T106" s="435"/>
      <c r="U106" s="436"/>
    </row>
    <row r="107" spans="1:21" s="64" customFormat="1" x14ac:dyDescent="0.2">
      <c r="A107" s="108"/>
      <c r="B107" s="150" t="s">
        <v>135</v>
      </c>
      <c r="C107" s="607"/>
      <c r="D107" s="607"/>
      <c r="E107" s="607"/>
      <c r="F107" s="607"/>
      <c r="G107" s="110"/>
      <c r="H107" s="91"/>
      <c r="I107" s="95"/>
      <c r="P107" s="456"/>
      <c r="Q107" s="434"/>
      <c r="R107" s="435"/>
      <c r="S107" s="435"/>
      <c r="T107" s="435"/>
      <c r="U107" s="436"/>
    </row>
    <row r="108" spans="1:21" s="64" customFormat="1" x14ac:dyDescent="0.2">
      <c r="A108" s="108"/>
      <c r="B108" s="150" t="s">
        <v>136</v>
      </c>
      <c r="C108" s="607"/>
      <c r="D108" s="607"/>
      <c r="E108" s="607"/>
      <c r="F108" s="607"/>
      <c r="G108" s="110"/>
      <c r="H108" s="91"/>
      <c r="I108" s="95"/>
      <c r="P108" s="457"/>
      <c r="Q108" s="434"/>
      <c r="R108" s="435"/>
      <c r="S108" s="435"/>
      <c r="T108" s="435"/>
      <c r="U108" s="436"/>
    </row>
    <row r="109" spans="1:21" s="64" customFormat="1" x14ac:dyDescent="0.2">
      <c r="A109" s="108"/>
      <c r="B109" s="131" t="s">
        <v>22</v>
      </c>
      <c r="C109" s="152"/>
      <c r="D109" s="152"/>
      <c r="E109" s="153" t="str">
        <f>IF(COUNTIF(C107:F108,"")&gt;0,"",(IF(MAX(C107:F108)&gt;ABS(MIN(C107:F108)),MAX(C107:F108),MIN(C107:F108))))</f>
        <v/>
      </c>
      <c r="F109" s="152"/>
      <c r="G109" s="73" t="s">
        <v>138</v>
      </c>
      <c r="H109" s="154">
        <f>Toleranser!D31</f>
        <v>0.01</v>
      </c>
      <c r="I109" s="133" t="s">
        <v>139</v>
      </c>
      <c r="P109" s="456"/>
      <c r="Q109" s="434"/>
      <c r="R109" s="435"/>
      <c r="S109" s="435"/>
      <c r="T109" s="435"/>
      <c r="U109" s="436"/>
    </row>
    <row r="110" spans="1:21" s="64" customFormat="1" x14ac:dyDescent="0.2">
      <c r="A110" s="108"/>
      <c r="B110" s="90"/>
      <c r="C110" s="108"/>
      <c r="D110" s="108"/>
      <c r="E110" s="147" t="str">
        <f>IF(E109="","",(IF(0.1*ABS(E109)&lt;=(H109*E105),"Pass","Fail")))</f>
        <v/>
      </c>
      <c r="F110" s="108"/>
      <c r="G110" s="195"/>
      <c r="H110" s="155"/>
      <c r="I110" s="82"/>
      <c r="P110" s="457"/>
      <c r="Q110" s="434"/>
      <c r="R110" s="435"/>
      <c r="S110" s="435"/>
      <c r="T110" s="435"/>
      <c r="U110" s="436"/>
    </row>
    <row r="111" spans="1:21" s="64" customFormat="1" x14ac:dyDescent="0.2">
      <c r="A111" s="108"/>
      <c r="B111" s="605" t="s">
        <v>376</v>
      </c>
      <c r="C111" s="108"/>
      <c r="D111" s="108"/>
      <c r="E111" s="153" t="str">
        <f>IF(COUNTIF(C107:F108,"")&gt;0,"",MAX((ABS(C107)+ABS(D107)),(ABS(E107)+ABS(F107))))</f>
        <v/>
      </c>
      <c r="F111" s="108"/>
      <c r="G111" s="195" t="s">
        <v>138</v>
      </c>
      <c r="H111" s="155">
        <f>Toleranser!D32</f>
        <v>0.02</v>
      </c>
      <c r="I111" s="82" t="s">
        <v>139</v>
      </c>
      <c r="P111" s="457"/>
      <c r="Q111" s="437"/>
      <c r="R111" s="438"/>
      <c r="S111" s="438"/>
      <c r="T111" s="438"/>
      <c r="U111" s="439"/>
    </row>
    <row r="112" spans="1:21" s="64" customFormat="1" x14ac:dyDescent="0.2">
      <c r="A112" s="108"/>
      <c r="B112" s="606"/>
      <c r="C112" s="108"/>
      <c r="D112" s="108"/>
      <c r="E112" s="147" t="str">
        <f>IF(E111="","",IF(0.1*ABS(E111)&lt;=H111*E105,"Pass","Fail"))</f>
        <v/>
      </c>
      <c r="F112" s="108"/>
      <c r="I112" s="82"/>
    </row>
    <row r="113" spans="1:25" s="64" customFormat="1" x14ac:dyDescent="0.2">
      <c r="A113" s="108"/>
      <c r="B113" s="605" t="s">
        <v>377</v>
      </c>
      <c r="C113" s="108"/>
      <c r="D113" s="108"/>
      <c r="E113" s="153" t="str">
        <f>IF(COUNTIF(C107:F108,"")&gt;0,"",MAX((ABS(C108)+ABS(D108)),(ABS(E108)+ABS(F108))))</f>
        <v/>
      </c>
      <c r="F113" s="108"/>
      <c r="G113" s="195" t="s">
        <v>138</v>
      </c>
      <c r="H113" s="155">
        <f>Toleranser!D32</f>
        <v>0.02</v>
      </c>
      <c r="I113" s="82" t="s">
        <v>139</v>
      </c>
    </row>
    <row r="114" spans="1:25" s="105" customFormat="1" ht="12" thickBot="1" x14ac:dyDescent="0.25">
      <c r="A114" s="145"/>
      <c r="B114" s="156"/>
      <c r="C114" s="145"/>
      <c r="D114" s="145"/>
      <c r="E114" s="157" t="str">
        <f>IF(E113="","",IF(0.1*ABS(E113)&lt;=H113*E105,"Pass","Fail"))</f>
        <v/>
      </c>
      <c r="F114" s="145"/>
      <c r="G114" s="137"/>
      <c r="H114" s="158"/>
      <c r="I114" s="159"/>
    </row>
    <row r="115" spans="1:25" s="64" customFormat="1" ht="12" thickBot="1" x14ac:dyDescent="0.25">
      <c r="A115" s="108"/>
      <c r="B115" s="105"/>
      <c r="C115" s="145"/>
      <c r="D115" s="145"/>
      <c r="E115" s="160"/>
      <c r="F115" s="108"/>
      <c r="G115" s="110"/>
      <c r="H115" s="91"/>
      <c r="I115" s="95"/>
    </row>
    <row r="116" spans="1:25" s="64" customFormat="1" ht="13.5" thickBot="1" x14ac:dyDescent="0.25">
      <c r="A116" s="108"/>
      <c r="B116" s="805" t="s">
        <v>123</v>
      </c>
      <c r="C116" s="806"/>
      <c r="D116" s="806"/>
      <c r="E116" s="807"/>
      <c r="F116" s="161"/>
      <c r="G116" s="161"/>
      <c r="H116" s="162"/>
      <c r="I116" s="162"/>
      <c r="J116" s="163"/>
      <c r="K116" s="163"/>
      <c r="L116" s="163"/>
      <c r="M116" s="163"/>
    </row>
    <row r="117" spans="1:25" s="64" customFormat="1" x14ac:dyDescent="0.2">
      <c r="A117" s="108"/>
      <c r="B117" s="69" t="s">
        <v>76</v>
      </c>
      <c r="C117" s="69" t="s">
        <v>75</v>
      </c>
      <c r="D117" s="69" t="s">
        <v>128</v>
      </c>
      <c r="E117" s="69" t="s">
        <v>125</v>
      </c>
      <c r="F117" s="69" t="s">
        <v>129</v>
      </c>
      <c r="G117" s="61" t="s">
        <v>126</v>
      </c>
      <c r="H117" s="69" t="s">
        <v>153</v>
      </c>
      <c r="I117" s="69"/>
      <c r="J117" s="164" t="str">
        <f>'DAP koeffisienter'!A14</f>
        <v>kV</v>
      </c>
      <c r="K117" s="164" t="str">
        <f>'DAP koeffisienter'!B14</f>
        <v>NKA</v>
      </c>
      <c r="L117" s="61" t="s">
        <v>154</v>
      </c>
      <c r="M117" s="61"/>
    </row>
    <row r="118" spans="1:25" s="64" customFormat="1" x14ac:dyDescent="0.2">
      <c r="A118" s="108"/>
      <c r="B118" s="69"/>
      <c r="C118" s="69"/>
      <c r="D118" s="69" t="s">
        <v>124</v>
      </c>
      <c r="E118" s="69" t="s">
        <v>124</v>
      </c>
      <c r="F118" s="69" t="s">
        <v>124</v>
      </c>
      <c r="G118" s="61" t="s">
        <v>127</v>
      </c>
      <c r="H118" s="61"/>
      <c r="I118" s="61"/>
      <c r="J118" s="164"/>
      <c r="K118" s="164"/>
      <c r="L118" s="61"/>
      <c r="M118" s="61"/>
    </row>
    <row r="119" spans="1:25" s="64" customFormat="1" x14ac:dyDescent="0.2">
      <c r="A119" s="108"/>
      <c r="B119" s="75">
        <v>50</v>
      </c>
      <c r="C119" s="241"/>
      <c r="D119" s="242"/>
      <c r="E119" s="242"/>
      <c r="F119" s="153" t="str">
        <f t="shared" ref="F119:F130" si="24">IF(C119="","",IF(C119&gt;=40,IF(C119&lt;=45,E119*$K$119,IF(C119&lt;=55,E119*$K$120,IF(C119&lt;=65,E119*$K$121,IF(C119&lt;=75,E119*$K$122,IF(C119&lt;=85,E119*$K$123,IF(C119&lt;=95,E119*$K$124,IF(C119&lt;=105,E119*$K$125,IF(C119&lt;=115,E119*$K$126,IF(C119&lt;=125,E119*$K$127,IF(C119&lt;=135,E119*$K$128,IF(C119&lt;=145,E119*$K$129,IF(C119&lt;=150,E119*$K$130))))))))))))))</f>
        <v/>
      </c>
      <c r="G119" s="244" t="str">
        <f>IF(C119="","",F119/D119)</f>
        <v/>
      </c>
      <c r="H119" s="245" t="str">
        <f>IF(C119="","",(D119-F119)/F119)</f>
        <v/>
      </c>
      <c r="I119" s="392" t="str">
        <f>IF(H119="","",(IF(ABS(H119)&gt;10%,"Fail","Pass")))</f>
        <v/>
      </c>
      <c r="J119" s="246">
        <f>'DAP koeffisienter'!A15</f>
        <v>40</v>
      </c>
      <c r="K119" s="371">
        <f>'DAP koeffisienter'!B15</f>
        <v>1.3448557422969181</v>
      </c>
      <c r="L119" s="512" t="s">
        <v>177</v>
      </c>
      <c r="M119" s="801" t="s">
        <v>491</v>
      </c>
      <c r="N119" s="801"/>
      <c r="O119" s="801"/>
      <c r="P119" s="802"/>
      <c r="Q119" s="456"/>
      <c r="R119" s="457"/>
      <c r="S119" s="457"/>
      <c r="T119" s="370"/>
      <c r="V119" s="456"/>
      <c r="W119" s="457"/>
      <c r="X119" s="457"/>
      <c r="Y119" s="370"/>
    </row>
    <row r="120" spans="1:25" s="64" customFormat="1" x14ac:dyDescent="0.2">
      <c r="A120" s="108"/>
      <c r="B120" s="75">
        <v>60</v>
      </c>
      <c r="C120" s="241"/>
      <c r="D120" s="242"/>
      <c r="E120" s="242"/>
      <c r="F120" s="153" t="str">
        <f t="shared" si="24"/>
        <v/>
      </c>
      <c r="G120" s="244" t="str">
        <f t="shared" ref="G120:G130" si="25">IF(C120="","",F120/D120)</f>
        <v/>
      </c>
      <c r="H120" s="245" t="str">
        <f t="shared" ref="H120:H130" si="26">IF(C120="","",(D120-F120)/F120)</f>
        <v/>
      </c>
      <c r="I120" s="392" t="str">
        <f>IF(H120="","",(IF(ABS(H120)&gt;10%,"Fail","Pass")))</f>
        <v/>
      </c>
      <c r="J120" s="246">
        <f>'DAP koeffisienter'!A16</f>
        <v>50</v>
      </c>
      <c r="K120" s="371">
        <f>'DAP koeffisienter'!B16</f>
        <v>1.2539751400560224</v>
      </c>
      <c r="L120" s="513"/>
      <c r="M120" s="803"/>
      <c r="N120" s="803"/>
      <c r="O120" s="803"/>
      <c r="P120" s="804"/>
      <c r="Q120" s="456"/>
      <c r="R120" s="457"/>
      <c r="S120" s="457"/>
      <c r="T120" s="370"/>
      <c r="V120" s="456"/>
      <c r="W120" s="457"/>
      <c r="X120" s="457"/>
      <c r="Y120" s="370"/>
    </row>
    <row r="121" spans="1:25" s="64" customFormat="1" x14ac:dyDescent="0.2">
      <c r="A121" s="108"/>
      <c r="B121" s="75">
        <v>70</v>
      </c>
      <c r="C121" s="241"/>
      <c r="D121" s="242"/>
      <c r="E121" s="242"/>
      <c r="F121" s="153" t="str">
        <f t="shared" si="24"/>
        <v/>
      </c>
      <c r="G121" s="244" t="str">
        <f t="shared" si="25"/>
        <v/>
      </c>
      <c r="H121" s="245" t="str">
        <f t="shared" si="26"/>
        <v/>
      </c>
      <c r="I121" s="392" t="str">
        <f>IF(H121="","",(IF(ABS(H121)&gt;10%,"Fail","Pass")))</f>
        <v/>
      </c>
      <c r="J121" s="246">
        <f>'DAP koeffisienter'!A17</f>
        <v>60</v>
      </c>
      <c r="K121" s="371">
        <f>'DAP koeffisienter'!B17</f>
        <v>1.1912647058823531</v>
      </c>
      <c r="L121" s="513"/>
      <c r="M121" s="435" t="s">
        <v>419</v>
      </c>
      <c r="N121" s="435"/>
      <c r="O121" s="511"/>
      <c r="P121" s="436"/>
      <c r="Q121" s="456"/>
      <c r="R121" s="457"/>
      <c r="S121" s="457"/>
      <c r="T121" s="370"/>
      <c r="V121" s="456"/>
      <c r="W121" s="457"/>
      <c r="X121" s="457"/>
      <c r="Y121" s="370"/>
    </row>
    <row r="122" spans="1:25" s="64" customFormat="1" x14ac:dyDescent="0.2">
      <c r="A122" s="108"/>
      <c r="B122" s="75">
        <v>80</v>
      </c>
      <c r="C122" s="241"/>
      <c r="D122" s="242"/>
      <c r="E122" s="242"/>
      <c r="F122" s="153" t="str">
        <f t="shared" si="24"/>
        <v/>
      </c>
      <c r="G122" s="244" t="str">
        <f t="shared" si="25"/>
        <v/>
      </c>
      <c r="H122" s="245" t="str">
        <f t="shared" si="26"/>
        <v/>
      </c>
      <c r="I122" s="392" t="str">
        <f t="shared" ref="I122:I130" si="27">IF(H122="","",(IF(ABS(H122)&gt;10%,"Fail","Pass")))</f>
        <v/>
      </c>
      <c r="J122" s="246">
        <f>'DAP koeffisienter'!A18</f>
        <v>70</v>
      </c>
      <c r="K122" s="371">
        <f>'DAP koeffisienter'!B18</f>
        <v>1.1528347338935576</v>
      </c>
      <c r="L122" s="668" t="s">
        <v>404</v>
      </c>
      <c r="M122" s="619"/>
      <c r="N122" s="619"/>
      <c r="O122" s="669"/>
      <c r="P122" s="670"/>
      <c r="Q122" s="456"/>
      <c r="R122" s="457"/>
      <c r="S122" s="457"/>
      <c r="T122" s="370"/>
      <c r="V122" s="456"/>
      <c r="W122" s="457"/>
      <c r="X122" s="457"/>
      <c r="Y122" s="370"/>
    </row>
    <row r="123" spans="1:25" s="64" customFormat="1" x14ac:dyDescent="0.2">
      <c r="A123" s="108"/>
      <c r="B123" s="75">
        <v>90</v>
      </c>
      <c r="C123" s="241"/>
      <c r="D123" s="242"/>
      <c r="E123" s="242"/>
      <c r="F123" s="153" t="str">
        <f t="shared" si="24"/>
        <v/>
      </c>
      <c r="G123" s="244" t="str">
        <f t="shared" si="25"/>
        <v/>
      </c>
      <c r="H123" s="245" t="str">
        <f t="shared" si="26"/>
        <v/>
      </c>
      <c r="I123" s="392" t="str">
        <f t="shared" si="27"/>
        <v/>
      </c>
      <c r="J123" s="246">
        <f>'DAP koeffisienter'!A19</f>
        <v>80</v>
      </c>
      <c r="K123" s="371">
        <f>'DAP koeffisienter'!B19</f>
        <v>1.1347955182072829</v>
      </c>
      <c r="L123" s="513" t="s">
        <v>441</v>
      </c>
      <c r="M123" s="435"/>
      <c r="N123" s="435"/>
      <c r="O123" s="511"/>
      <c r="P123" s="436"/>
      <c r="Q123" s="456"/>
      <c r="R123" s="457"/>
      <c r="S123" s="457"/>
      <c r="T123" s="370"/>
      <c r="V123" s="456"/>
      <c r="W123" s="457"/>
      <c r="X123" s="457"/>
      <c r="Y123" s="370"/>
    </row>
    <row r="124" spans="1:25" s="64" customFormat="1" x14ac:dyDescent="0.2">
      <c r="A124" s="108"/>
      <c r="B124" s="75">
        <v>100</v>
      </c>
      <c r="C124" s="241"/>
      <c r="D124" s="242"/>
      <c r="E124" s="242"/>
      <c r="F124" s="153" t="str">
        <f t="shared" si="24"/>
        <v/>
      </c>
      <c r="G124" s="244" t="str">
        <f t="shared" si="25"/>
        <v/>
      </c>
      <c r="H124" s="245" t="str">
        <f t="shared" si="26"/>
        <v/>
      </c>
      <c r="I124" s="392" t="str">
        <f t="shared" si="27"/>
        <v/>
      </c>
      <c r="J124" s="246">
        <f>'DAP koeffisienter'!A20</f>
        <v>90</v>
      </c>
      <c r="K124" s="371">
        <f>'DAP koeffisienter'!B20</f>
        <v>1.1332573529411769</v>
      </c>
      <c r="L124" s="513"/>
      <c r="M124" s="435"/>
      <c r="N124" s="435"/>
      <c r="O124" s="511"/>
      <c r="P124" s="436"/>
      <c r="Q124" s="456"/>
      <c r="R124" s="457"/>
      <c r="S124" s="457"/>
      <c r="T124" s="370"/>
      <c r="V124" s="456"/>
      <c r="W124" s="457"/>
      <c r="X124" s="457"/>
      <c r="Y124" s="370"/>
    </row>
    <row r="125" spans="1:25" s="64" customFormat="1" x14ac:dyDescent="0.2">
      <c r="A125" s="108"/>
      <c r="B125" s="75">
        <v>110</v>
      </c>
      <c r="C125" s="241"/>
      <c r="D125" s="242"/>
      <c r="E125" s="242"/>
      <c r="F125" s="153" t="str">
        <f t="shared" si="24"/>
        <v/>
      </c>
      <c r="G125" s="244" t="str">
        <f t="shared" si="25"/>
        <v/>
      </c>
      <c r="H125" s="245" t="str">
        <f t="shared" si="26"/>
        <v/>
      </c>
      <c r="I125" s="392" t="str">
        <f t="shared" si="27"/>
        <v/>
      </c>
      <c r="J125" s="246">
        <f>'DAP koeffisienter'!A21</f>
        <v>100</v>
      </c>
      <c r="K125" s="371">
        <f>'DAP koeffisienter'!B21</f>
        <v>1.1443305322128854</v>
      </c>
      <c r="L125" s="513"/>
      <c r="M125" s="435"/>
      <c r="N125" s="435"/>
      <c r="O125" s="511"/>
      <c r="P125" s="436"/>
      <c r="Q125" s="456"/>
      <c r="R125" s="457"/>
      <c r="S125" s="457"/>
      <c r="T125" s="370"/>
      <c r="V125" s="456"/>
      <c r="W125" s="457"/>
      <c r="X125" s="457"/>
      <c r="Y125" s="370"/>
    </row>
    <row r="126" spans="1:25" s="64" customFormat="1" x14ac:dyDescent="0.2">
      <c r="A126" s="108"/>
      <c r="B126" s="75">
        <v>120</v>
      </c>
      <c r="C126" s="241"/>
      <c r="D126" s="242"/>
      <c r="E126" s="242"/>
      <c r="F126" s="153" t="str">
        <f t="shared" si="24"/>
        <v/>
      </c>
      <c r="G126" s="244" t="str">
        <f t="shared" si="25"/>
        <v/>
      </c>
      <c r="H126" s="245" t="str">
        <f t="shared" si="26"/>
        <v/>
      </c>
      <c r="I126" s="392" t="str">
        <f t="shared" si="27"/>
        <v/>
      </c>
      <c r="J126" s="246">
        <f>'DAP koeffisienter'!A22</f>
        <v>110</v>
      </c>
      <c r="K126" s="371">
        <f>'DAP koeffisienter'!B22</f>
        <v>1.1641253501400564</v>
      </c>
      <c r="L126" s="513"/>
      <c r="M126" s="435"/>
      <c r="N126" s="435"/>
      <c r="O126" s="511"/>
      <c r="P126" s="436"/>
      <c r="Q126" s="456"/>
      <c r="R126" s="457"/>
      <c r="S126" s="457"/>
      <c r="T126" s="370"/>
      <c r="V126" s="456"/>
      <c r="W126" s="457"/>
      <c r="X126" s="457"/>
      <c r="Y126" s="370"/>
    </row>
    <row r="127" spans="1:25" s="64" customFormat="1" x14ac:dyDescent="0.2">
      <c r="A127" s="108"/>
      <c r="B127" s="75">
        <v>130</v>
      </c>
      <c r="C127" s="241"/>
      <c r="D127" s="242"/>
      <c r="E127" s="242"/>
      <c r="F127" s="153" t="str">
        <f t="shared" si="24"/>
        <v/>
      </c>
      <c r="G127" s="244" t="str">
        <f t="shared" si="25"/>
        <v/>
      </c>
      <c r="H127" s="245" t="str">
        <f t="shared" si="26"/>
        <v/>
      </c>
      <c r="I127" s="392" t="str">
        <f t="shared" si="27"/>
        <v/>
      </c>
      <c r="J127" s="246">
        <f>'DAP koeffisienter'!A23</f>
        <v>120</v>
      </c>
      <c r="K127" s="371">
        <f>'DAP koeffisienter'!B23</f>
        <v>1.1887521008403361</v>
      </c>
      <c r="L127" s="513"/>
      <c r="M127" s="435"/>
      <c r="N127" s="435"/>
      <c r="O127" s="511"/>
      <c r="P127" s="436"/>
      <c r="Q127" s="457"/>
      <c r="R127" s="457"/>
      <c r="S127" s="457"/>
      <c r="T127" s="370"/>
      <c r="V127" s="457"/>
      <c r="W127" s="457"/>
      <c r="X127" s="457"/>
      <c r="Y127" s="370"/>
    </row>
    <row r="128" spans="1:25" s="64" customFormat="1" x14ac:dyDescent="0.2">
      <c r="A128" s="108"/>
      <c r="B128" s="798" t="s">
        <v>440</v>
      </c>
      <c r="C128" s="241"/>
      <c r="D128" s="242"/>
      <c r="E128" s="242"/>
      <c r="F128" s="153" t="str">
        <f t="shared" si="24"/>
        <v/>
      </c>
      <c r="G128" s="244" t="str">
        <f t="shared" si="25"/>
        <v/>
      </c>
      <c r="H128" s="245" t="str">
        <f t="shared" si="26"/>
        <v/>
      </c>
      <c r="I128" s="392" t="str">
        <f t="shared" si="27"/>
        <v/>
      </c>
      <c r="J128" s="246">
        <f>'DAP koeffisienter'!A24</f>
        <v>130</v>
      </c>
      <c r="K128" s="371">
        <f>'DAP koeffisienter'!B24</f>
        <v>1.2143210784313729</v>
      </c>
      <c r="L128" s="513"/>
      <c r="M128" s="435"/>
      <c r="N128" s="435"/>
      <c r="O128" s="511"/>
      <c r="P128" s="436"/>
      <c r="Q128" s="456"/>
      <c r="R128" s="457"/>
      <c r="S128" s="457"/>
      <c r="T128" s="370"/>
      <c r="V128" s="456"/>
      <c r="W128" s="457"/>
      <c r="X128" s="457"/>
      <c r="Y128" s="370"/>
    </row>
    <row r="129" spans="1:25" s="64" customFormat="1" x14ac:dyDescent="0.2">
      <c r="A129" s="95"/>
      <c r="B129" s="799"/>
      <c r="C129" s="241"/>
      <c r="D129" s="242"/>
      <c r="E129" s="242"/>
      <c r="F129" s="153" t="str">
        <f t="shared" si="24"/>
        <v/>
      </c>
      <c r="G129" s="244" t="str">
        <f t="shared" si="25"/>
        <v/>
      </c>
      <c r="H129" s="245" t="str">
        <f t="shared" si="26"/>
        <v/>
      </c>
      <c r="I129" s="392" t="str">
        <f t="shared" si="27"/>
        <v/>
      </c>
      <c r="J129" s="246">
        <f>'DAP koeffisienter'!A25</f>
        <v>140</v>
      </c>
      <c r="K129" s="371">
        <f>'DAP koeffisienter'!B25</f>
        <v>1.236942577030812</v>
      </c>
      <c r="L129" s="513"/>
      <c r="M129" s="435"/>
      <c r="N129" s="435"/>
      <c r="O129" s="511"/>
      <c r="P129" s="436"/>
      <c r="Q129" s="457"/>
      <c r="R129" s="457"/>
      <c r="S129" s="457"/>
      <c r="T129" s="370"/>
      <c r="V129" s="457"/>
      <c r="W129" s="457"/>
      <c r="X129" s="457"/>
      <c r="Y129" s="370"/>
    </row>
    <row r="130" spans="1:25" s="64" customFormat="1" x14ac:dyDescent="0.2">
      <c r="A130" s="95"/>
      <c r="B130" s="800"/>
      <c r="C130" s="241"/>
      <c r="D130" s="242"/>
      <c r="E130" s="242"/>
      <c r="F130" s="153" t="str">
        <f t="shared" si="24"/>
        <v/>
      </c>
      <c r="G130" s="244" t="str">
        <f t="shared" si="25"/>
        <v/>
      </c>
      <c r="H130" s="245" t="str">
        <f t="shared" si="26"/>
        <v/>
      </c>
      <c r="I130" s="392" t="str">
        <f t="shared" si="27"/>
        <v/>
      </c>
      <c r="J130" s="246">
        <f>'DAP koeffisienter'!A26</f>
        <v>150</v>
      </c>
      <c r="K130" s="371">
        <f>'DAP koeffisienter'!B26</f>
        <v>1.2527268907563025</v>
      </c>
      <c r="L130" s="514"/>
      <c r="M130" s="438"/>
      <c r="N130" s="438"/>
      <c r="O130" s="515"/>
      <c r="P130" s="439"/>
      <c r="Q130" s="457"/>
      <c r="R130" s="457"/>
      <c r="S130" s="457"/>
      <c r="T130" s="370"/>
      <c r="V130" s="457"/>
      <c r="W130" s="457"/>
      <c r="X130" s="457"/>
      <c r="Y130" s="370"/>
    </row>
    <row r="131" spans="1:25" s="64" customFormat="1" x14ac:dyDescent="0.2">
      <c r="A131" s="95"/>
      <c r="B131" s="195"/>
      <c r="C131" s="179"/>
      <c r="D131" s="180"/>
      <c r="E131" s="180"/>
      <c r="F131" s="181"/>
      <c r="G131" s="86"/>
      <c r="H131" s="369" t="s">
        <v>93</v>
      </c>
      <c r="I131" s="393" t="str">
        <f>IF((COUNTIF(I119:I130,"Fail"))&gt;0,"Fail",IF((COUNTIF(I119:I130,"Pass"))&gt;0,"Pass",""))</f>
        <v/>
      </c>
      <c r="J131" s="169"/>
      <c r="K131" s="178"/>
      <c r="L131" s="61"/>
    </row>
    <row r="132" spans="1:25" s="64" customFormat="1" x14ac:dyDescent="0.2">
      <c r="A132" s="95"/>
      <c r="B132" s="195"/>
      <c r="C132" s="179"/>
      <c r="D132" s="180"/>
      <c r="E132" s="180"/>
      <c r="F132" s="181"/>
      <c r="G132" s="86"/>
      <c r="H132" s="167"/>
      <c r="I132" s="168"/>
      <c r="J132" s="169"/>
      <c r="K132" s="178"/>
      <c r="L132" s="61"/>
    </row>
    <row r="133" spans="1:25" s="64" customFormat="1" x14ac:dyDescent="0.2">
      <c r="A133" s="95"/>
      <c r="B133" s="195"/>
      <c r="C133" s="179"/>
      <c r="D133" s="180"/>
      <c r="E133" s="180"/>
      <c r="F133" s="181"/>
      <c r="G133" s="86"/>
      <c r="H133" s="167"/>
      <c r="I133" s="168"/>
      <c r="J133" s="169"/>
      <c r="K133" s="178"/>
      <c r="L133" s="61"/>
    </row>
    <row r="134" spans="1:25" s="64" customFormat="1" x14ac:dyDescent="0.2">
      <c r="A134" s="95"/>
      <c r="B134" s="195"/>
      <c r="C134" s="179"/>
      <c r="D134" s="180"/>
      <c r="E134" s="180"/>
      <c r="F134" s="181"/>
      <c r="G134" s="86"/>
      <c r="H134" s="167"/>
      <c r="I134" s="168"/>
      <c r="J134" s="169"/>
      <c r="K134" s="178"/>
      <c r="L134" s="61"/>
    </row>
    <row r="135" spans="1:25" s="64" customFormat="1" x14ac:dyDescent="0.2">
      <c r="A135" s="95"/>
      <c r="B135" s="195"/>
      <c r="C135" s="179"/>
      <c r="D135" s="180"/>
      <c r="E135" s="180"/>
      <c r="F135" s="181"/>
      <c r="G135" s="86"/>
      <c r="H135" s="167"/>
      <c r="I135" s="168"/>
      <c r="J135" s="169"/>
      <c r="K135" s="178"/>
      <c r="L135" s="61"/>
    </row>
    <row r="136" spans="1:25" s="64" customFormat="1" x14ac:dyDescent="0.2">
      <c r="A136" s="95"/>
      <c r="B136" s="195"/>
      <c r="C136" s="179"/>
      <c r="D136" s="180"/>
      <c r="E136" s="180"/>
      <c r="F136" s="181"/>
      <c r="G136" s="86"/>
      <c r="H136" s="167"/>
      <c r="I136" s="168"/>
      <c r="J136" s="169"/>
      <c r="K136" s="178"/>
      <c r="L136" s="61"/>
    </row>
    <row r="137" spans="1:25" s="64" customFormat="1" x14ac:dyDescent="0.2">
      <c r="A137" s="95"/>
      <c r="B137" s="195"/>
      <c r="C137" s="179"/>
      <c r="D137" s="180"/>
      <c r="E137" s="180"/>
      <c r="F137" s="181"/>
      <c r="G137" s="86"/>
      <c r="H137" s="167"/>
      <c r="I137" s="168"/>
      <c r="J137" s="169"/>
      <c r="K137" s="178"/>
      <c r="L137" s="61"/>
    </row>
    <row r="138" spans="1:25" s="64" customFormat="1" x14ac:dyDescent="0.2">
      <c r="A138" s="95"/>
      <c r="B138" s="195"/>
      <c r="C138" s="179"/>
      <c r="D138" s="180"/>
      <c r="E138" s="180"/>
      <c r="F138" s="181"/>
      <c r="G138" s="86"/>
      <c r="H138" s="167"/>
      <c r="I138" s="168"/>
      <c r="J138" s="169"/>
      <c r="K138" s="178"/>
      <c r="L138" s="61"/>
    </row>
    <row r="139" spans="1:25" s="64" customFormat="1" x14ac:dyDescent="0.2">
      <c r="A139" s="95"/>
      <c r="B139" s="195"/>
      <c r="C139" s="179"/>
      <c r="D139" s="180"/>
      <c r="E139" s="180"/>
      <c r="F139" s="181"/>
      <c r="G139" s="86"/>
      <c r="H139" s="167"/>
      <c r="I139" s="168"/>
      <c r="J139" s="169"/>
      <c r="K139" s="178"/>
      <c r="L139" s="61"/>
    </row>
    <row r="140" spans="1:25" s="64" customFormat="1" x14ac:dyDescent="0.2">
      <c r="A140" s="95"/>
      <c r="B140" s="195"/>
      <c r="C140" s="179"/>
      <c r="D140" s="180"/>
      <c r="E140" s="180"/>
      <c r="F140" s="181"/>
      <c r="G140" s="86"/>
      <c r="H140" s="167"/>
      <c r="I140" s="168"/>
      <c r="J140" s="169"/>
      <c r="K140" s="178"/>
      <c r="L140" s="61"/>
    </row>
    <row r="141" spans="1:25" s="64" customFormat="1" x14ac:dyDescent="0.2">
      <c r="A141" s="95"/>
      <c r="B141" s="195"/>
      <c r="C141" s="179"/>
      <c r="D141" s="180"/>
      <c r="E141" s="180"/>
      <c r="F141" s="181"/>
      <c r="G141" s="86"/>
      <c r="H141" s="167"/>
      <c r="I141" s="168"/>
      <c r="J141" s="169"/>
      <c r="K141" s="178"/>
      <c r="L141" s="61"/>
    </row>
    <row r="142" spans="1:25" s="64" customFormat="1" x14ac:dyDescent="0.2">
      <c r="A142" s="95"/>
      <c r="B142" s="195"/>
      <c r="C142" s="179"/>
      <c r="D142" s="180"/>
      <c r="E142" s="180"/>
      <c r="F142" s="181"/>
      <c r="G142" s="86"/>
      <c r="H142" s="167"/>
      <c r="I142" s="168"/>
      <c r="J142" s="169"/>
      <c r="K142" s="178"/>
      <c r="L142" s="61"/>
    </row>
    <row r="143" spans="1:25" s="64" customFormat="1" x14ac:dyDescent="0.2">
      <c r="A143" s="95"/>
      <c r="B143" s="195"/>
      <c r="C143" s="179"/>
      <c r="D143" s="180"/>
      <c r="E143" s="180"/>
      <c r="F143" s="181"/>
      <c r="G143" s="86"/>
      <c r="H143" s="167"/>
      <c r="I143" s="168"/>
      <c r="J143" s="169"/>
      <c r="K143" s="178"/>
      <c r="L143" s="61"/>
    </row>
    <row r="144" spans="1:25" s="64" customFormat="1" x14ac:dyDescent="0.2">
      <c r="A144" s="95"/>
      <c r="B144" s="195"/>
      <c r="C144" s="179"/>
      <c r="D144" s="180"/>
      <c r="E144" s="180"/>
      <c r="F144" s="181"/>
      <c r="G144" s="86"/>
      <c r="H144" s="167"/>
      <c r="I144" s="168"/>
      <c r="J144" s="169"/>
      <c r="K144" s="178"/>
      <c r="L144" s="61"/>
    </row>
    <row r="145" spans="1:24" s="64" customFormat="1" x14ac:dyDescent="0.2">
      <c r="A145" s="95"/>
      <c r="B145" s="195"/>
      <c r="C145" s="179"/>
      <c r="D145" s="180"/>
      <c r="E145" s="180"/>
      <c r="F145" s="181"/>
      <c r="G145" s="86"/>
      <c r="H145" s="167"/>
      <c r="I145" s="168"/>
      <c r="J145" s="169"/>
      <c r="K145" s="178"/>
      <c r="L145" s="61"/>
    </row>
    <row r="146" spans="1:24" s="64" customFormat="1" x14ac:dyDescent="0.2">
      <c r="A146" s="95"/>
      <c r="B146" s="195"/>
      <c r="C146" s="179"/>
      <c r="D146" s="180"/>
      <c r="E146" s="180"/>
      <c r="F146" s="181"/>
      <c r="G146" s="86"/>
      <c r="H146" s="167"/>
      <c r="I146" s="168"/>
      <c r="J146" s="169"/>
      <c r="K146" s="178"/>
      <c r="L146" s="61"/>
    </row>
    <row r="147" spans="1:24" s="64" customFormat="1" x14ac:dyDescent="0.2">
      <c r="A147" s="95"/>
      <c r="B147" s="195"/>
      <c r="C147" s="179"/>
      <c r="D147" s="180"/>
      <c r="E147" s="180"/>
      <c r="F147" s="181"/>
      <c r="G147" s="86"/>
      <c r="H147" s="167"/>
      <c r="I147" s="168"/>
      <c r="J147" s="169"/>
      <c r="K147" s="62"/>
      <c r="M147" s="306"/>
    </row>
    <row r="148" spans="1:24" s="64" customFormat="1" x14ac:dyDescent="0.2">
      <c r="A148" s="95"/>
      <c r="B148" s="195"/>
      <c r="C148" s="179"/>
      <c r="D148" s="180"/>
      <c r="E148" s="180"/>
      <c r="F148" s="181"/>
      <c r="G148" s="86"/>
      <c r="H148" s="167"/>
      <c r="I148" s="168"/>
      <c r="J148" s="169"/>
      <c r="K148" s="178"/>
      <c r="L148" s="61"/>
    </row>
    <row r="149" spans="1:24" s="64" customFormat="1" x14ac:dyDescent="0.2">
      <c r="A149" s="95"/>
      <c r="B149" s="195"/>
      <c r="C149" s="165"/>
      <c r="D149" s="166"/>
      <c r="E149" s="166"/>
      <c r="F149" s="91"/>
      <c r="G149" s="86"/>
      <c r="H149" s="167"/>
      <c r="I149" s="168"/>
      <c r="J149" s="169"/>
    </row>
    <row r="150" spans="1:24" s="64" customFormat="1" x14ac:dyDescent="0.2">
      <c r="A150" s="95"/>
      <c r="B150" s="195"/>
      <c r="C150" s="165"/>
      <c r="D150" s="166"/>
      <c r="E150" s="166"/>
      <c r="F150" s="91"/>
      <c r="G150" s="86"/>
      <c r="H150" s="167"/>
      <c r="I150" s="168"/>
      <c r="J150" s="169"/>
    </row>
    <row r="151" spans="1:24" s="105" customFormat="1" ht="12" thickBot="1" x14ac:dyDescent="0.25">
      <c r="A151" s="138"/>
      <c r="B151" s="103"/>
      <c r="C151" s="170"/>
      <c r="D151" s="171"/>
      <c r="E151" s="171"/>
      <c r="F151" s="158"/>
      <c r="G151" s="107"/>
      <c r="H151" s="172"/>
      <c r="I151" s="173"/>
      <c r="J151" s="174"/>
    </row>
    <row r="152" spans="1:24" s="64" customFormat="1" ht="12" thickBot="1" x14ac:dyDescent="0.25">
      <c r="A152" s="95"/>
      <c r="B152" s="699"/>
      <c r="C152" s="165"/>
      <c r="D152" s="166"/>
      <c r="E152" s="166"/>
      <c r="F152" s="91"/>
      <c r="G152" s="86"/>
      <c r="H152" s="167"/>
      <c r="I152" s="168"/>
      <c r="J152" s="169"/>
    </row>
    <row r="153" spans="1:24" s="64" customFormat="1" ht="13.5" thickBot="1" x14ac:dyDescent="0.25">
      <c r="A153" s="95"/>
      <c r="B153" s="785" t="s">
        <v>442</v>
      </c>
      <c r="C153" s="786"/>
      <c r="D153" s="786"/>
      <c r="E153" s="786"/>
      <c r="F153" s="786"/>
      <c r="G153" s="786"/>
      <c r="H153" s="786"/>
      <c r="I153" s="786"/>
      <c r="J153" s="787"/>
      <c r="L153" s="425" t="s">
        <v>486</v>
      </c>
      <c r="M153" s="723"/>
      <c r="N153" s="724"/>
      <c r="O153" s="725"/>
      <c r="P153" s="726"/>
      <c r="Q153" s="609"/>
      <c r="R153" s="609"/>
      <c r="S153" s="711"/>
      <c r="T153" s="711"/>
      <c r="U153" s="711"/>
    </row>
    <row r="154" spans="1:24" ht="12" thickBot="1" x14ac:dyDescent="0.25">
      <c r="A154" s="99"/>
      <c r="L154" s="711"/>
      <c r="M154" s="711"/>
      <c r="N154" s="711"/>
      <c r="O154" s="711"/>
      <c r="P154" s="711"/>
      <c r="Q154" s="711"/>
      <c r="R154" s="711"/>
      <c r="S154" s="711"/>
      <c r="T154" s="711"/>
      <c r="U154" s="711"/>
    </row>
    <row r="155" spans="1:24" ht="13.5" thickBot="1" x14ac:dyDescent="0.25">
      <c r="A155" s="99"/>
      <c r="B155" s="519"/>
      <c r="C155" s="519"/>
      <c r="D155" s="175"/>
      <c r="E155" s="175"/>
      <c r="F155" s="519"/>
      <c r="G155" s="519"/>
      <c r="H155" s="519"/>
      <c r="J155" s="164"/>
      <c r="K155" s="628"/>
      <c r="L155" s="711"/>
      <c r="M155" s="609"/>
      <c r="N155" s="769" t="s">
        <v>452</v>
      </c>
      <c r="O155" s="767"/>
      <c r="P155" s="767" t="s">
        <v>454</v>
      </c>
      <c r="Q155" s="767"/>
      <c r="R155" s="767" t="s">
        <v>459</v>
      </c>
      <c r="S155" s="767"/>
      <c r="T155" s="768"/>
      <c r="U155" s="711"/>
      <c r="V155" s="457"/>
      <c r="W155" s="457"/>
      <c r="X155" s="292"/>
    </row>
    <row r="156" spans="1:24" ht="12.75" x14ac:dyDescent="0.2">
      <c r="A156" s="99"/>
      <c r="B156" s="518"/>
      <c r="C156" s="520" t="s">
        <v>266</v>
      </c>
      <c r="D156" s="516"/>
      <c r="E156" s="519" t="s">
        <v>87</v>
      </c>
      <c r="F156" s="519" t="s">
        <v>86</v>
      </c>
      <c r="I156" s="327" t="s">
        <v>257</v>
      </c>
      <c r="J156" s="461"/>
      <c r="K156" s="177"/>
      <c r="L156" s="715"/>
      <c r="M156" s="721" t="s">
        <v>257</v>
      </c>
      <c r="N156" s="770" t="s">
        <v>466</v>
      </c>
      <c r="O156" s="771"/>
      <c r="P156" s="770" t="s">
        <v>466</v>
      </c>
      <c r="Q156" s="771"/>
      <c r="R156" s="772" t="s">
        <v>473</v>
      </c>
      <c r="S156" s="772"/>
      <c r="T156" s="773"/>
      <c r="U156" s="711"/>
      <c r="V156" s="492"/>
      <c r="W156" s="492"/>
      <c r="X156" s="292"/>
    </row>
    <row r="157" spans="1:24" ht="12.75" x14ac:dyDescent="0.2">
      <c r="A157" s="99"/>
      <c r="B157" s="321" t="s">
        <v>274</v>
      </c>
      <c r="C157" s="525"/>
      <c r="D157" s="176"/>
      <c r="E157" s="459"/>
      <c r="F157" s="459"/>
      <c r="G157" s="321" t="s">
        <v>235</v>
      </c>
      <c r="I157" s="162"/>
      <c r="J157" s="524"/>
      <c r="K157" s="64"/>
      <c r="L157" s="716"/>
      <c r="M157" s="721" t="s">
        <v>461</v>
      </c>
      <c r="N157" s="757" t="s">
        <v>467</v>
      </c>
      <c r="O157" s="758"/>
      <c r="P157" s="757" t="s">
        <v>455</v>
      </c>
      <c r="Q157" s="758"/>
      <c r="R157" s="753" t="s">
        <v>474</v>
      </c>
      <c r="S157" s="753"/>
      <c r="T157" s="754"/>
      <c r="U157" s="711"/>
      <c r="V157" s="492"/>
      <c r="W157" s="492"/>
      <c r="X157" s="292"/>
    </row>
    <row r="158" spans="1:24" ht="12.75" x14ac:dyDescent="0.2">
      <c r="A158" s="99"/>
      <c r="B158" s="320" t="s">
        <v>275</v>
      </c>
      <c r="C158" s="234"/>
      <c r="D158" s="234"/>
      <c r="E158" s="459"/>
      <c r="F158" s="459"/>
      <c r="G158" s="320" t="s">
        <v>271</v>
      </c>
      <c r="I158" s="91"/>
      <c r="J158" s="524"/>
      <c r="K158" s="64"/>
      <c r="L158" s="716"/>
      <c r="M158" s="721" t="s">
        <v>481</v>
      </c>
      <c r="N158" s="757" t="s">
        <v>468</v>
      </c>
      <c r="O158" s="758"/>
      <c r="P158" s="757" t="s">
        <v>468</v>
      </c>
      <c r="Q158" s="758"/>
      <c r="R158" s="753" t="s">
        <v>468</v>
      </c>
      <c r="S158" s="753"/>
      <c r="T158" s="754"/>
      <c r="U158" s="711"/>
      <c r="V158" s="492"/>
      <c r="W158" s="492"/>
      <c r="X158" s="292"/>
    </row>
    <row r="159" spans="1:24" ht="12.75" x14ac:dyDescent="0.2">
      <c r="A159" s="99"/>
      <c r="B159" s="320" t="s">
        <v>43</v>
      </c>
      <c r="C159" s="524"/>
      <c r="D159" s="524"/>
      <c r="E159" s="241"/>
      <c r="F159" s="241"/>
      <c r="G159" s="320" t="s">
        <v>493</v>
      </c>
      <c r="I159" s="91"/>
      <c r="J159" s="524"/>
      <c r="K159" s="64"/>
      <c r="L159" s="716"/>
      <c r="M159" s="721" t="s">
        <v>482</v>
      </c>
      <c r="N159" s="757" t="s">
        <v>451</v>
      </c>
      <c r="O159" s="758"/>
      <c r="P159" s="783" t="s">
        <v>456</v>
      </c>
      <c r="Q159" s="784"/>
      <c r="R159" s="753" t="s">
        <v>456</v>
      </c>
      <c r="S159" s="753"/>
      <c r="T159" s="754"/>
      <c r="U159" s="711"/>
      <c r="V159" s="292"/>
      <c r="W159" s="292"/>
      <c r="X159" s="292"/>
    </row>
    <row r="160" spans="1:24" ht="12.75" x14ac:dyDescent="0.2">
      <c r="A160" s="99"/>
      <c r="B160" s="320" t="s">
        <v>237</v>
      </c>
      <c r="C160" s="524"/>
      <c r="D160" s="524"/>
      <c r="E160" s="460"/>
      <c r="F160" s="460"/>
      <c r="G160" s="320" t="s">
        <v>236</v>
      </c>
      <c r="I160" s="91"/>
      <c r="J160" s="524"/>
      <c r="K160" s="64"/>
      <c r="L160" s="716"/>
      <c r="M160" s="721" t="s">
        <v>462</v>
      </c>
      <c r="N160" s="717" t="s">
        <v>469</v>
      </c>
      <c r="O160" s="718"/>
      <c r="P160" s="783" t="s">
        <v>460</v>
      </c>
      <c r="Q160" s="784"/>
      <c r="R160" s="753" t="s">
        <v>460</v>
      </c>
      <c r="S160" s="753"/>
      <c r="T160" s="754"/>
      <c r="U160" s="711"/>
      <c r="V160" s="712"/>
      <c r="W160" s="712"/>
      <c r="X160" s="292"/>
    </row>
    <row r="161" spans="1:24" ht="12.75" x14ac:dyDescent="0.2">
      <c r="A161" s="99"/>
      <c r="B161" s="320" t="s">
        <v>279</v>
      </c>
      <c r="C161" s="687"/>
      <c r="D161" s="687"/>
      <c r="E161" s="460"/>
      <c r="F161" s="460"/>
      <c r="G161" s="320" t="s">
        <v>490</v>
      </c>
      <c r="I161" s="91"/>
      <c r="J161" s="687"/>
      <c r="K161" s="64"/>
      <c r="L161" s="716"/>
      <c r="M161" s="721" t="s">
        <v>463</v>
      </c>
      <c r="N161" s="717" t="s">
        <v>470</v>
      </c>
      <c r="O161" s="719"/>
      <c r="P161" s="757" t="s">
        <v>8</v>
      </c>
      <c r="Q161" s="758"/>
      <c r="R161" s="753" t="s">
        <v>8</v>
      </c>
      <c r="S161" s="753"/>
      <c r="T161" s="754"/>
      <c r="U161" s="711"/>
      <c r="V161" s="492"/>
      <c r="W161" s="492"/>
      <c r="X161" s="292"/>
    </row>
    <row r="162" spans="1:24" ht="29.25" customHeight="1" x14ac:dyDescent="0.2">
      <c r="A162" s="99"/>
      <c r="B162" s="705" t="s">
        <v>488</v>
      </c>
      <c r="C162" s="524"/>
      <c r="D162" s="524"/>
      <c r="E162" s="460"/>
      <c r="F162" s="460"/>
      <c r="G162" s="705" t="s">
        <v>450</v>
      </c>
      <c r="I162" s="91"/>
      <c r="J162" s="524"/>
      <c r="K162" s="64"/>
      <c r="L162" s="716"/>
      <c r="M162" s="720" t="s">
        <v>483</v>
      </c>
      <c r="N162" s="765" t="s">
        <v>453</v>
      </c>
      <c r="O162" s="766"/>
      <c r="P162" s="765" t="s">
        <v>457</v>
      </c>
      <c r="Q162" s="766"/>
      <c r="R162" s="751" t="s">
        <v>475</v>
      </c>
      <c r="S162" s="751"/>
      <c r="T162" s="752"/>
      <c r="U162" s="711"/>
      <c r="V162" s="492"/>
      <c r="W162" s="492"/>
      <c r="X162" s="292"/>
    </row>
    <row r="163" spans="1:24" ht="12.75" x14ac:dyDescent="0.2">
      <c r="A163" s="99"/>
      <c r="B163" s="524"/>
      <c r="C163" s="524"/>
      <c r="D163" s="175"/>
      <c r="E163" s="308" t="str">
        <f>IF(COUNTIF(E157:E162,"")&gt;0,"",IF(AND(E157=6,E158=7,E159&gt;=2.3,OR(E160="ja",E160="i.a."),OR(E161="ja"),OR(E162="ja",E162="i.a.")),"Pass","Fail"))</f>
        <v/>
      </c>
      <c r="F163" s="308" t="str">
        <f>IF(COUNTIF(F157:F162,"")&gt;0,"",IF(AND(F157=6,F158=7,F159&gt;=2.3,OR(F160="ja",F160="i.a."),OR(F161="ja"),OR(F162="ja",F162="i.a.")),"Pass","Fail"))</f>
        <v/>
      </c>
      <c r="G163" s="532" t="str">
        <f>IF(OR(E163="",F163=""),"",(IF((COUNTIF(E163:F163,"Fail"))&gt;0,"Fail",IF((COUNTIF(E163:F163,"Pass"))&gt;0,"Pass",""))))</f>
        <v/>
      </c>
      <c r="I163" s="91"/>
      <c r="J163" s="524"/>
      <c r="K163" s="64"/>
      <c r="L163" s="716"/>
      <c r="M163" s="721" t="s">
        <v>464</v>
      </c>
      <c r="N163" s="757" t="s">
        <v>471</v>
      </c>
      <c r="O163" s="758"/>
      <c r="P163" s="757" t="s">
        <v>471</v>
      </c>
      <c r="Q163" s="758"/>
      <c r="R163" s="753" t="s">
        <v>476</v>
      </c>
      <c r="S163" s="753"/>
      <c r="T163" s="754"/>
      <c r="U163" s="711"/>
      <c r="V163" s="531"/>
      <c r="W163" s="534"/>
      <c r="X163" s="292"/>
    </row>
    <row r="164" spans="1:24" ht="12.75" customHeight="1" x14ac:dyDescent="0.2">
      <c r="A164" s="99"/>
      <c r="B164" s="368"/>
      <c r="C164" s="520" t="s">
        <v>268</v>
      </c>
      <c r="D164" s="516"/>
      <c r="E164" s="519" t="s">
        <v>87</v>
      </c>
      <c r="F164" s="519" t="s">
        <v>86</v>
      </c>
      <c r="I164" s="327" t="s">
        <v>257</v>
      </c>
      <c r="J164" s="461"/>
      <c r="K164" s="64"/>
      <c r="L164" s="716"/>
      <c r="M164" s="748" t="s">
        <v>484</v>
      </c>
      <c r="N164" s="759" t="s">
        <v>472</v>
      </c>
      <c r="O164" s="760"/>
      <c r="P164" s="759" t="s">
        <v>478</v>
      </c>
      <c r="Q164" s="760"/>
      <c r="R164" s="751" t="s">
        <v>477</v>
      </c>
      <c r="S164" s="751"/>
      <c r="T164" s="752"/>
      <c r="U164" s="711"/>
      <c r="V164" s="713"/>
      <c r="W164" s="713"/>
      <c r="X164" s="292"/>
    </row>
    <row r="165" spans="1:24" ht="12.75" customHeight="1" x14ac:dyDescent="0.2">
      <c r="A165" s="99"/>
      <c r="B165" s="321" t="s">
        <v>274</v>
      </c>
      <c r="C165" s="525"/>
      <c r="D165" s="176"/>
      <c r="E165" s="459"/>
      <c r="F165" s="459"/>
      <c r="G165" s="321" t="s">
        <v>235</v>
      </c>
      <c r="I165" s="162"/>
      <c r="J165" s="524"/>
      <c r="K165" s="64"/>
      <c r="L165" s="716"/>
      <c r="M165" s="749"/>
      <c r="N165" s="761"/>
      <c r="O165" s="762"/>
      <c r="P165" s="761"/>
      <c r="Q165" s="762"/>
      <c r="R165" s="751"/>
      <c r="S165" s="751"/>
      <c r="T165" s="752"/>
      <c r="U165" s="711"/>
      <c r="V165" s="713"/>
      <c r="W165" s="713"/>
      <c r="X165" s="292"/>
    </row>
    <row r="166" spans="1:24" ht="12.75" x14ac:dyDescent="0.2">
      <c r="A166" s="99"/>
      <c r="B166" s="320" t="s">
        <v>275</v>
      </c>
      <c r="C166" s="234"/>
      <c r="D166" s="234"/>
      <c r="E166" s="459"/>
      <c r="F166" s="459"/>
      <c r="G166" s="320" t="s">
        <v>271</v>
      </c>
      <c r="I166" s="91"/>
      <c r="J166" s="524"/>
      <c r="K166" s="64"/>
      <c r="L166" s="716"/>
      <c r="M166" s="749"/>
      <c r="N166" s="761"/>
      <c r="O166" s="762"/>
      <c r="P166" s="761"/>
      <c r="Q166" s="762"/>
      <c r="R166" s="751"/>
      <c r="S166" s="751"/>
      <c r="T166" s="752"/>
      <c r="U166" s="711"/>
      <c r="V166" s="713"/>
      <c r="W166" s="713"/>
      <c r="X166" s="292"/>
    </row>
    <row r="167" spans="1:24" ht="12.75" x14ac:dyDescent="0.2">
      <c r="A167" s="99"/>
      <c r="B167" s="320" t="s">
        <v>43</v>
      </c>
      <c r="C167" s="524"/>
      <c r="D167" s="524"/>
      <c r="E167" s="241"/>
      <c r="F167" s="241"/>
      <c r="G167" s="320" t="s">
        <v>493</v>
      </c>
      <c r="I167" s="91"/>
      <c r="J167" s="524"/>
      <c r="K167" s="64"/>
      <c r="L167" s="716"/>
      <c r="M167" s="749"/>
      <c r="N167" s="761"/>
      <c r="O167" s="762"/>
      <c r="P167" s="761"/>
      <c r="Q167" s="762"/>
      <c r="R167" s="751"/>
      <c r="S167" s="751"/>
      <c r="T167" s="752"/>
      <c r="U167" s="711"/>
      <c r="V167" s="292"/>
      <c r="W167" s="292"/>
      <c r="X167" s="292"/>
    </row>
    <row r="168" spans="1:24" ht="12.75" x14ac:dyDescent="0.2">
      <c r="A168" s="99"/>
      <c r="B168" s="320" t="s">
        <v>237</v>
      </c>
      <c r="C168" s="524"/>
      <c r="D168" s="524"/>
      <c r="E168" s="460"/>
      <c r="F168" s="460"/>
      <c r="G168" s="320" t="s">
        <v>236</v>
      </c>
      <c r="I168" s="91"/>
      <c r="J168" s="524"/>
      <c r="K168" s="64"/>
      <c r="L168" s="716"/>
      <c r="M168" s="749"/>
      <c r="N168" s="761"/>
      <c r="O168" s="762"/>
      <c r="P168" s="761"/>
      <c r="Q168" s="762"/>
      <c r="R168" s="751"/>
      <c r="S168" s="751"/>
      <c r="T168" s="752"/>
      <c r="U168" s="609"/>
      <c r="V168" s="292"/>
      <c r="W168" s="292"/>
      <c r="X168" s="292"/>
    </row>
    <row r="169" spans="1:24" ht="12.75" x14ac:dyDescent="0.2">
      <c r="A169" s="99"/>
      <c r="B169" s="320" t="s">
        <v>279</v>
      </c>
      <c r="C169" s="687"/>
      <c r="D169" s="687"/>
      <c r="E169" s="460"/>
      <c r="F169" s="460"/>
      <c r="G169" s="320" t="s">
        <v>490</v>
      </c>
      <c r="I169" s="91"/>
      <c r="J169" s="687"/>
      <c r="K169" s="64"/>
      <c r="L169" s="716"/>
      <c r="M169" s="749"/>
      <c r="N169" s="761"/>
      <c r="O169" s="762"/>
      <c r="P169" s="761"/>
      <c r="Q169" s="762"/>
      <c r="R169" s="751"/>
      <c r="S169" s="751"/>
      <c r="T169" s="752"/>
      <c r="U169" s="608"/>
    </row>
    <row r="170" spans="1:24" ht="18.75" customHeight="1" x14ac:dyDescent="0.2">
      <c r="A170" s="99"/>
      <c r="B170" s="705" t="s">
        <v>488</v>
      </c>
      <c r="C170" s="524"/>
      <c r="D170" s="524"/>
      <c r="E170" s="460"/>
      <c r="F170" s="460"/>
      <c r="G170" s="705" t="s">
        <v>450</v>
      </c>
      <c r="I170" s="91"/>
      <c r="J170" s="524"/>
      <c r="K170" s="64"/>
      <c r="L170" s="716"/>
      <c r="M170" s="749"/>
      <c r="N170" s="761"/>
      <c r="O170" s="762"/>
      <c r="P170" s="761"/>
      <c r="Q170" s="762"/>
      <c r="R170" s="751"/>
      <c r="S170" s="751"/>
      <c r="T170" s="752"/>
      <c r="U170" s="608"/>
    </row>
    <row r="171" spans="1:24" ht="22.5" customHeight="1" x14ac:dyDescent="0.2">
      <c r="A171" s="99"/>
      <c r="B171" s="524"/>
      <c r="C171" s="524"/>
      <c r="D171" s="524"/>
      <c r="E171" s="308" t="str">
        <f>IF(COUNTIF(E165:E170,"")&gt;0,"",IF(AND(E165=6,E166=7,E167&gt;=2.3,OR(E168="ja",E168="i.a."),OR(E169="ja"),OR(E170="ja",E170="i.a.")),"Pass","Fail"))</f>
        <v/>
      </c>
      <c r="F171" s="308" t="str">
        <f>IF(COUNTIF(F165:F170,"")&gt;0,"",IF(AND(F165=6,F166=7,F167&gt;=2.3,OR(F168="ja",F168="i.a."),OR(F169="ja"),OR(F170="ja",F170="i.a.")),"Pass","Fail"))</f>
        <v/>
      </c>
      <c r="G171" s="532" t="str">
        <f>IF(OR(E171="",F171=""),"",(IF((COUNTIF(E171:F171,"Fail"))&gt;0,"Fail",IF((COUNTIF(E171:F171,"Pass"))&gt;0,"Pass",""))))</f>
        <v/>
      </c>
      <c r="I171" s="91"/>
      <c r="J171" s="524"/>
      <c r="K171" s="64"/>
      <c r="L171" s="716"/>
      <c r="M171" s="750"/>
      <c r="N171" s="763"/>
      <c r="O171" s="764"/>
      <c r="P171" s="763"/>
      <c r="Q171" s="764"/>
      <c r="R171" s="751"/>
      <c r="S171" s="751"/>
      <c r="T171" s="752"/>
      <c r="U171" s="711"/>
    </row>
    <row r="172" spans="1:24" ht="12.75" customHeight="1" x14ac:dyDescent="0.2">
      <c r="A172" s="99"/>
      <c r="B172" s="524"/>
      <c r="C172" s="524"/>
      <c r="D172" s="175"/>
      <c r="E172" s="529"/>
      <c r="F172" s="529"/>
      <c r="G172" s="533"/>
      <c r="I172" s="91"/>
      <c r="J172" s="524"/>
      <c r="K172" s="64"/>
      <c r="L172" s="716"/>
      <c r="M172" s="747" t="s">
        <v>465</v>
      </c>
      <c r="N172" s="759" t="s">
        <v>480</v>
      </c>
      <c r="O172" s="760"/>
      <c r="P172" s="759" t="s">
        <v>458</v>
      </c>
      <c r="Q172" s="760"/>
      <c r="R172" s="751" t="s">
        <v>479</v>
      </c>
      <c r="S172" s="751"/>
      <c r="T172" s="752"/>
      <c r="U172" s="711"/>
    </row>
    <row r="173" spans="1:24" ht="12.75" x14ac:dyDescent="0.2">
      <c r="A173" s="99"/>
      <c r="B173" s="368"/>
      <c r="C173" s="520" t="s">
        <v>267</v>
      </c>
      <c r="D173" s="516"/>
      <c r="E173" s="519" t="s">
        <v>87</v>
      </c>
      <c r="F173" s="519" t="s">
        <v>86</v>
      </c>
      <c r="I173" s="327" t="s">
        <v>257</v>
      </c>
      <c r="J173" s="461"/>
      <c r="K173" s="99"/>
      <c r="L173" s="716"/>
      <c r="M173" s="747"/>
      <c r="N173" s="761"/>
      <c r="O173" s="762"/>
      <c r="P173" s="761"/>
      <c r="Q173" s="762"/>
      <c r="R173" s="751"/>
      <c r="S173" s="751"/>
      <c r="T173" s="752"/>
      <c r="U173" s="711"/>
    </row>
    <row r="174" spans="1:24" ht="15.75" customHeight="1" thickBot="1" x14ac:dyDescent="0.25">
      <c r="A174" s="99"/>
      <c r="B174" s="321" t="s">
        <v>274</v>
      </c>
      <c r="C174" s="525"/>
      <c r="D174" s="176"/>
      <c r="E174" s="459"/>
      <c r="F174" s="459"/>
      <c r="G174" s="321" t="s">
        <v>235</v>
      </c>
      <c r="I174" s="162"/>
      <c r="J174" s="524"/>
      <c r="K174" s="99"/>
      <c r="L174" s="716"/>
      <c r="M174" s="747"/>
      <c r="N174" s="774"/>
      <c r="O174" s="775"/>
      <c r="P174" s="774"/>
      <c r="Q174" s="775"/>
      <c r="R174" s="755"/>
      <c r="S174" s="755"/>
      <c r="T174" s="756"/>
      <c r="U174" s="711"/>
    </row>
    <row r="175" spans="1:24" ht="12.75" x14ac:dyDescent="0.2">
      <c r="A175" s="99"/>
      <c r="B175" s="320" t="s">
        <v>275</v>
      </c>
      <c r="C175" s="234"/>
      <c r="D175" s="234"/>
      <c r="E175" s="459"/>
      <c r="F175" s="459"/>
      <c r="G175" s="320" t="s">
        <v>271</v>
      </c>
      <c r="I175" s="91"/>
      <c r="J175" s="524"/>
      <c r="K175" s="99"/>
      <c r="L175" s="716"/>
      <c r="M175" s="711"/>
      <c r="N175" s="722"/>
      <c r="O175" s="722"/>
      <c r="P175" s="711"/>
      <c r="Q175" s="711"/>
      <c r="R175" s="711"/>
      <c r="S175" s="608"/>
      <c r="T175" s="711"/>
      <c r="U175" s="711"/>
    </row>
    <row r="176" spans="1:24" ht="12.75" x14ac:dyDescent="0.2">
      <c r="A176" s="99"/>
      <c r="B176" s="320" t="s">
        <v>43</v>
      </c>
      <c r="C176" s="524"/>
      <c r="D176" s="524"/>
      <c r="E176" s="241"/>
      <c r="F176" s="241"/>
      <c r="G176" s="320" t="s">
        <v>493</v>
      </c>
      <c r="I176" s="91"/>
      <c r="J176" s="524"/>
      <c r="K176" s="99"/>
    </row>
    <row r="177" spans="1:25" ht="12.75" x14ac:dyDescent="0.2">
      <c r="A177" s="99"/>
      <c r="B177" s="320" t="s">
        <v>237</v>
      </c>
      <c r="C177" s="524"/>
      <c r="D177" s="524"/>
      <c r="E177" s="460"/>
      <c r="F177" s="460"/>
      <c r="G177" s="320" t="s">
        <v>236</v>
      </c>
      <c r="I177" s="91"/>
      <c r="J177" s="524"/>
      <c r="K177" s="99"/>
      <c r="L177" s="312"/>
      <c r="N177" s="714"/>
      <c r="O177" s="714"/>
      <c r="P177" s="64"/>
      <c r="Q177" s="64"/>
      <c r="R177" s="64"/>
    </row>
    <row r="178" spans="1:25" ht="12.75" x14ac:dyDescent="0.2">
      <c r="A178" s="99"/>
      <c r="B178" s="320" t="s">
        <v>279</v>
      </c>
      <c r="C178" s="687"/>
      <c r="D178" s="687"/>
      <c r="E178" s="460"/>
      <c r="F178" s="460"/>
      <c r="G178" s="320" t="s">
        <v>490</v>
      </c>
      <c r="I178" s="91"/>
      <c r="J178" s="687"/>
      <c r="K178" s="99"/>
      <c r="L178" s="312"/>
      <c r="N178" s="714"/>
      <c r="O178" s="714"/>
      <c r="P178" s="64"/>
      <c r="Q178" s="64"/>
      <c r="R178" s="64"/>
    </row>
    <row r="179" spans="1:25" ht="12.75" x14ac:dyDescent="0.2">
      <c r="A179" s="99"/>
      <c r="B179" s="705" t="s">
        <v>488</v>
      </c>
      <c r="C179" s="524"/>
      <c r="D179" s="524"/>
      <c r="E179" s="460"/>
      <c r="F179" s="460"/>
      <c r="G179" s="705" t="s">
        <v>450</v>
      </c>
      <c r="I179" s="91"/>
      <c r="J179" s="524"/>
      <c r="K179" s="99"/>
      <c r="L179" s="312"/>
      <c r="N179" s="714"/>
      <c r="O179" s="714"/>
      <c r="P179" s="64"/>
      <c r="R179" s="64"/>
    </row>
    <row r="180" spans="1:25" ht="12.75" x14ac:dyDescent="0.2">
      <c r="A180" s="99"/>
      <c r="B180" s="524"/>
      <c r="C180" s="524"/>
      <c r="D180" s="524"/>
      <c r="E180" s="308" t="str">
        <f>IF(COUNTIF(E174:E179,"")&gt;0,"",IF(AND(E174=6,E175=7,E176&gt;=2.3,OR(E177="ja",E177="i.a."),OR(E178="ja"),OR(E179="ja",E179="i.a.")),"Pass","Fail"))</f>
        <v/>
      </c>
      <c r="F180" s="308" t="str">
        <f>IF(COUNTIF(F174:F179,"")&gt;0,"",IF(AND(F174=6,F175=7,F176&gt;=2.3,OR(F177="ja",F177="i.a."),OR(F178="ja"),OR(F179="ja",F179="i.a.")),"Pass","Fail"))</f>
        <v/>
      </c>
      <c r="G180" s="532" t="str">
        <f>IF(OR(E180="",F180=""),"",(IF((COUNTIF(E180:F180,"Fail"))&gt;0,"Fail",IF((COUNTIF(E180:F180,"Pass"))&gt;0,"Pass",""))))</f>
        <v/>
      </c>
      <c r="I180" s="91"/>
      <c r="J180" s="524"/>
      <c r="K180" s="99"/>
      <c r="L180" s="312"/>
      <c r="N180" s="714"/>
      <c r="O180" s="714"/>
      <c r="P180" s="64"/>
      <c r="R180" s="64"/>
    </row>
    <row r="181" spans="1:25" ht="12.75" x14ac:dyDescent="0.2">
      <c r="A181" s="99"/>
      <c r="B181" s="165"/>
      <c r="C181" s="165"/>
      <c r="D181" s="175"/>
      <c r="E181" s="529"/>
      <c r="F181" s="529"/>
      <c r="G181" s="533"/>
      <c r="H181" s="292"/>
      <c r="I181" s="530"/>
      <c r="J181" s="165"/>
      <c r="K181" s="528"/>
      <c r="L181" s="312"/>
      <c r="Q181" s="64"/>
    </row>
    <row r="182" spans="1:25" s="292" customFormat="1" ht="12.75" x14ac:dyDescent="0.2">
      <c r="A182" s="528"/>
      <c r="B182" s="368"/>
      <c r="C182" s="520" t="s">
        <v>284</v>
      </c>
      <c r="D182" s="516"/>
      <c r="E182" s="519" t="s">
        <v>87</v>
      </c>
      <c r="F182" s="519" t="s">
        <v>86</v>
      </c>
      <c r="G182" s="61"/>
      <c r="H182" s="61"/>
      <c r="I182" s="327" t="s">
        <v>257</v>
      </c>
      <c r="J182" s="461"/>
      <c r="K182" s="528"/>
      <c r="L182" s="682"/>
      <c r="N182" s="61"/>
      <c r="O182" s="61"/>
      <c r="P182" s="61"/>
      <c r="Q182" s="64"/>
      <c r="R182" s="61"/>
      <c r="S182" s="61"/>
      <c r="T182" s="61"/>
      <c r="U182" s="61"/>
      <c r="V182" s="61"/>
      <c r="W182" s="61"/>
      <c r="X182" s="61"/>
      <c r="Y182" s="61"/>
    </row>
    <row r="183" spans="1:25" ht="12.75" x14ac:dyDescent="0.2">
      <c r="A183" s="528"/>
      <c r="B183" s="321" t="s">
        <v>274</v>
      </c>
      <c r="C183" s="525"/>
      <c r="D183" s="176"/>
      <c r="E183" s="459"/>
      <c r="F183" s="459"/>
      <c r="G183" s="321" t="s">
        <v>235</v>
      </c>
      <c r="I183" s="162"/>
      <c r="J183" s="524"/>
      <c r="K183" s="64"/>
      <c r="L183" s="31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</row>
    <row r="184" spans="1:25" s="64" customFormat="1" ht="12.75" x14ac:dyDescent="0.2">
      <c r="A184" s="99"/>
      <c r="B184" s="320" t="s">
        <v>275</v>
      </c>
      <c r="C184" s="234"/>
      <c r="D184" s="234"/>
      <c r="E184" s="459"/>
      <c r="F184" s="459"/>
      <c r="G184" s="320" t="s">
        <v>271</v>
      </c>
      <c r="H184" s="61"/>
      <c r="I184" s="91"/>
      <c r="J184" s="524"/>
      <c r="L184" s="683"/>
      <c r="N184" s="61"/>
      <c r="O184" s="61"/>
      <c r="P184" s="61"/>
      <c r="R184" s="61"/>
      <c r="S184" s="61"/>
      <c r="U184" s="61"/>
      <c r="V184" s="61"/>
      <c r="W184" s="61"/>
      <c r="X184" s="61"/>
      <c r="Y184" s="61"/>
    </row>
    <row r="185" spans="1:25" ht="12.75" x14ac:dyDescent="0.2">
      <c r="A185" s="95"/>
      <c r="B185" s="320" t="s">
        <v>43</v>
      </c>
      <c r="C185" s="524"/>
      <c r="D185" s="524"/>
      <c r="E185" s="241"/>
      <c r="F185" s="241"/>
      <c r="G185" s="320" t="s">
        <v>493</v>
      </c>
      <c r="I185" s="91"/>
      <c r="J185" s="524"/>
      <c r="K185" s="64"/>
      <c r="L185" s="312"/>
      <c r="N185" s="64"/>
      <c r="O185" s="64"/>
      <c r="P185" s="534" t="s">
        <v>281</v>
      </c>
      <c r="R185" s="64"/>
      <c r="S185" s="64"/>
      <c r="U185" s="64"/>
      <c r="V185" s="64"/>
      <c r="W185" s="64"/>
      <c r="X185" s="64"/>
      <c r="Y185" s="64"/>
    </row>
    <row r="186" spans="1:25" s="64" customFormat="1" ht="12.75" x14ac:dyDescent="0.2">
      <c r="A186" s="99"/>
      <c r="B186" s="320" t="s">
        <v>237</v>
      </c>
      <c r="C186" s="524"/>
      <c r="D186" s="524"/>
      <c r="E186" s="460"/>
      <c r="F186" s="460"/>
      <c r="G186" s="320" t="s">
        <v>236</v>
      </c>
      <c r="H186" s="61"/>
      <c r="I186" s="91"/>
      <c r="J186" s="524"/>
      <c r="L186" s="683"/>
      <c r="N186" s="61"/>
      <c r="O186" s="61"/>
      <c r="P186" s="531" t="s">
        <v>270</v>
      </c>
      <c r="R186" s="61"/>
      <c r="S186" s="61"/>
      <c r="U186" s="61"/>
      <c r="V186" s="61"/>
      <c r="W186" s="61"/>
      <c r="X186" s="61"/>
      <c r="Y186" s="61"/>
    </row>
    <row r="187" spans="1:25" ht="12.75" x14ac:dyDescent="0.2">
      <c r="A187" s="95"/>
      <c r="B187" s="320" t="s">
        <v>279</v>
      </c>
      <c r="C187" s="687"/>
      <c r="D187" s="687"/>
      <c r="E187" s="460"/>
      <c r="F187" s="460"/>
      <c r="G187" s="320" t="s">
        <v>490</v>
      </c>
      <c r="I187" s="91"/>
      <c r="J187" s="687"/>
      <c r="K187" s="64"/>
      <c r="L187" s="312"/>
      <c r="N187" s="64"/>
      <c r="O187" s="64"/>
      <c r="P187" s="531" t="s">
        <v>276</v>
      </c>
      <c r="R187" s="64"/>
      <c r="S187" s="64"/>
      <c r="U187" s="64"/>
      <c r="V187" s="64"/>
      <c r="W187" s="64"/>
      <c r="X187" s="64"/>
      <c r="Y187" s="64"/>
    </row>
    <row r="188" spans="1:25" ht="12.75" x14ac:dyDescent="0.2">
      <c r="A188" s="95"/>
      <c r="B188" s="705" t="s">
        <v>488</v>
      </c>
      <c r="C188" s="524"/>
      <c r="D188" s="524"/>
      <c r="E188" s="460"/>
      <c r="F188" s="460"/>
      <c r="G188" s="705" t="s">
        <v>450</v>
      </c>
      <c r="I188" s="91"/>
      <c r="J188" s="524"/>
      <c r="K188" s="64"/>
      <c r="L188" s="312"/>
      <c r="N188" s="64"/>
      <c r="O188" s="64"/>
      <c r="P188" s="531" t="s">
        <v>277</v>
      </c>
      <c r="R188" s="64"/>
      <c r="S188" s="64"/>
      <c r="U188" s="64"/>
      <c r="V188" s="64"/>
      <c r="W188" s="64"/>
      <c r="X188" s="64"/>
      <c r="Y188" s="64"/>
    </row>
    <row r="189" spans="1:25" ht="12.75" x14ac:dyDescent="0.2">
      <c r="A189" s="99"/>
      <c r="B189" s="524"/>
      <c r="C189" s="524"/>
      <c r="D189" s="524"/>
      <c r="E189" s="308" t="str">
        <f>IF(COUNTIF(E183:E188,"")&gt;0,"",IF(AND(E183=6,E184=7,E185&gt;=2.3,OR(E186="ja",E186="i.a."),OR(E187="ja"),OR(E188="ja",E188="i.a.")),"Pass","Fail"))</f>
        <v/>
      </c>
      <c r="F189" s="308" t="str">
        <f>IF(COUNTIF(F183:F188,"")&gt;0,"",IF(AND(F183=6,F184=7,F185&gt;=2.3,OR(F186="ja",F186="i.a."),OR(F187="ja"),OR(F188="ja",F188="i.a.")),"Pass","Fail"))</f>
        <v/>
      </c>
      <c r="G189" s="532" t="str">
        <f>IF(OR(E189="",F189=""),"",(IF((COUNTIF(E189:F189,"Fail"))&gt;0,"Fail",IF((COUNTIF(E189:F189,"Pass"))&gt;0,"Pass",""))))</f>
        <v/>
      </c>
      <c r="I189" s="91"/>
      <c r="J189" s="524"/>
      <c r="K189" s="95"/>
      <c r="L189" s="312"/>
      <c r="P189" s="531" t="s">
        <v>278</v>
      </c>
    </row>
    <row r="190" spans="1:25" x14ac:dyDescent="0.2">
      <c r="A190" s="292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292"/>
    </row>
    <row r="191" spans="1:25" s="64" customFormat="1" x14ac:dyDescent="0.2">
      <c r="A191" s="292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292"/>
    </row>
    <row r="197" spans="1:13" x14ac:dyDescent="0.2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</row>
    <row r="198" spans="1:13" x14ac:dyDescent="0.2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</row>
    <row r="199" spans="1:13" x14ac:dyDescent="0.2">
      <c r="A199" s="455" t="s">
        <v>258</v>
      </c>
      <c r="B199" s="432"/>
      <c r="C199" s="432"/>
      <c r="D199" s="432"/>
      <c r="E199" s="432"/>
      <c r="F199" s="432"/>
      <c r="G199" s="432"/>
      <c r="H199" s="432"/>
      <c r="I199" s="432"/>
      <c r="J199" s="432"/>
      <c r="K199" s="432"/>
      <c r="L199" s="433"/>
      <c r="M199" s="292"/>
    </row>
    <row r="200" spans="1:13" x14ac:dyDescent="0.2">
      <c r="A200" s="434"/>
      <c r="B200" s="435"/>
      <c r="C200" s="435"/>
      <c r="D200" s="435"/>
      <c r="E200" s="435"/>
      <c r="F200" s="435"/>
      <c r="G200" s="435"/>
      <c r="H200" s="435"/>
      <c r="I200" s="435"/>
      <c r="J200" s="435"/>
      <c r="K200" s="435"/>
      <c r="L200" s="436"/>
      <c r="M200" s="292"/>
    </row>
    <row r="201" spans="1:13" x14ac:dyDescent="0.2">
      <c r="A201" s="434"/>
      <c r="B201" s="435"/>
      <c r="C201" s="435"/>
      <c r="D201" s="435"/>
      <c r="E201" s="435"/>
      <c r="F201" s="435"/>
      <c r="G201" s="435"/>
      <c r="H201" s="435"/>
      <c r="I201" s="435"/>
      <c r="J201" s="435"/>
      <c r="K201" s="435"/>
      <c r="L201" s="436"/>
    </row>
    <row r="202" spans="1:13" x14ac:dyDescent="0.2">
      <c r="A202" s="434"/>
      <c r="B202" s="435"/>
      <c r="C202" s="435"/>
      <c r="D202" s="435"/>
      <c r="E202" s="435"/>
      <c r="F202" s="435"/>
      <c r="G202" s="435"/>
      <c r="H202" s="435"/>
      <c r="I202" s="435"/>
      <c r="J202" s="435"/>
      <c r="K202" s="435"/>
      <c r="L202" s="436"/>
    </row>
    <row r="203" spans="1:13" x14ac:dyDescent="0.2">
      <c r="A203" s="434"/>
      <c r="B203" s="435"/>
      <c r="C203" s="435"/>
      <c r="D203" s="435"/>
      <c r="E203" s="435"/>
      <c r="F203" s="435"/>
      <c r="G203" s="435"/>
      <c r="H203" s="435"/>
      <c r="I203" s="435"/>
      <c r="J203" s="435"/>
      <c r="K203" s="435"/>
      <c r="L203" s="436"/>
    </row>
    <row r="204" spans="1:13" x14ac:dyDescent="0.2">
      <c r="A204" s="434"/>
      <c r="B204" s="435"/>
      <c r="C204" s="435"/>
      <c r="D204" s="435"/>
      <c r="E204" s="435"/>
      <c r="F204" s="435"/>
      <c r="G204" s="435"/>
      <c r="H204" s="435"/>
      <c r="I204" s="435"/>
      <c r="J204" s="435"/>
      <c r="K204" s="435"/>
      <c r="L204" s="436"/>
    </row>
    <row r="205" spans="1:13" x14ac:dyDescent="0.2">
      <c r="A205" s="434"/>
      <c r="B205" s="435"/>
      <c r="C205" s="435"/>
      <c r="D205" s="435"/>
      <c r="E205" s="435"/>
      <c r="F205" s="435"/>
      <c r="G205" s="435"/>
      <c r="H205" s="435"/>
      <c r="I205" s="435"/>
      <c r="J205" s="435"/>
      <c r="K205" s="435"/>
      <c r="L205" s="436"/>
    </row>
    <row r="206" spans="1:13" x14ac:dyDescent="0.2">
      <c r="A206" s="434"/>
      <c r="B206" s="435"/>
      <c r="C206" s="435"/>
      <c r="D206" s="435"/>
      <c r="E206" s="435"/>
      <c r="F206" s="435"/>
      <c r="G206" s="435"/>
      <c r="H206" s="435"/>
      <c r="I206" s="435"/>
      <c r="J206" s="435"/>
      <c r="K206" s="435"/>
      <c r="L206" s="436"/>
    </row>
    <row r="207" spans="1:13" x14ac:dyDescent="0.2">
      <c r="A207" s="434"/>
      <c r="B207" s="435"/>
      <c r="C207" s="435"/>
      <c r="D207" s="435"/>
      <c r="E207" s="435"/>
      <c r="F207" s="435"/>
      <c r="G207" s="435"/>
      <c r="H207" s="435"/>
      <c r="I207" s="435"/>
      <c r="J207" s="435"/>
      <c r="K207" s="435"/>
      <c r="L207" s="436"/>
    </row>
    <row r="208" spans="1:13" x14ac:dyDescent="0.2">
      <c r="A208" s="434"/>
      <c r="B208" s="435"/>
      <c r="C208" s="435"/>
      <c r="D208" s="435"/>
      <c r="E208" s="435"/>
      <c r="F208" s="435"/>
      <c r="G208" s="435"/>
      <c r="H208" s="435"/>
      <c r="I208" s="435"/>
      <c r="J208" s="435"/>
      <c r="K208" s="435"/>
      <c r="L208" s="436"/>
    </row>
    <row r="209" spans="1:73" x14ac:dyDescent="0.2">
      <c r="A209" s="434"/>
      <c r="B209" s="435"/>
      <c r="C209" s="435"/>
      <c r="D209" s="435"/>
      <c r="E209" s="435"/>
      <c r="F209" s="435"/>
      <c r="G209" s="435"/>
      <c r="H209" s="435"/>
      <c r="I209" s="435"/>
      <c r="J209" s="435"/>
      <c r="K209" s="435"/>
      <c r="L209" s="436"/>
    </row>
    <row r="210" spans="1:73" x14ac:dyDescent="0.2">
      <c r="A210" s="434"/>
      <c r="B210" s="435"/>
      <c r="C210" s="435"/>
      <c r="D210" s="435"/>
      <c r="E210" s="435"/>
      <c r="F210" s="435"/>
      <c r="G210" s="435"/>
      <c r="H210" s="435"/>
      <c r="I210" s="435"/>
      <c r="J210" s="435"/>
      <c r="K210" s="435"/>
      <c r="L210" s="436"/>
    </row>
    <row r="211" spans="1:73" x14ac:dyDescent="0.2">
      <c r="A211" s="434"/>
      <c r="B211" s="435"/>
      <c r="C211" s="435"/>
      <c r="D211" s="435"/>
      <c r="E211" s="435"/>
      <c r="F211" s="435"/>
      <c r="G211" s="435"/>
      <c r="H211" s="435"/>
      <c r="I211" s="435"/>
      <c r="J211" s="435"/>
      <c r="K211" s="435"/>
      <c r="L211" s="436"/>
    </row>
    <row r="212" spans="1:73" x14ac:dyDescent="0.2">
      <c r="A212" s="434"/>
      <c r="B212" s="435"/>
      <c r="C212" s="435"/>
      <c r="D212" s="435"/>
      <c r="E212" s="435"/>
      <c r="F212" s="435"/>
      <c r="G212" s="435"/>
      <c r="H212" s="435"/>
      <c r="I212" s="435"/>
      <c r="J212" s="435"/>
      <c r="K212" s="435"/>
      <c r="L212" s="436"/>
    </row>
    <row r="213" spans="1:73" s="292" customFormat="1" x14ac:dyDescent="0.2">
      <c r="A213" s="434"/>
      <c r="B213" s="435"/>
      <c r="C213" s="435"/>
      <c r="D213" s="435"/>
      <c r="E213" s="435"/>
      <c r="F213" s="435"/>
      <c r="G213" s="435"/>
      <c r="H213" s="435"/>
      <c r="I213" s="435"/>
      <c r="J213" s="435"/>
      <c r="K213" s="435"/>
      <c r="L213" s="436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</row>
    <row r="214" spans="1:73" s="292" customFormat="1" x14ac:dyDescent="0.2">
      <c r="A214" s="434"/>
      <c r="B214" s="435"/>
      <c r="C214" s="435"/>
      <c r="D214" s="435"/>
      <c r="E214" s="435"/>
      <c r="F214" s="435"/>
      <c r="G214" s="435"/>
      <c r="H214" s="435"/>
      <c r="I214" s="435"/>
      <c r="J214" s="435"/>
      <c r="K214" s="435"/>
      <c r="L214" s="436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</row>
    <row r="215" spans="1:73" s="292" customFormat="1" x14ac:dyDescent="0.2">
      <c r="A215" s="434"/>
      <c r="B215" s="435"/>
      <c r="C215" s="435"/>
      <c r="D215" s="435"/>
      <c r="E215" s="435"/>
      <c r="F215" s="435"/>
      <c r="G215" s="435"/>
      <c r="H215" s="435"/>
      <c r="I215" s="435"/>
      <c r="J215" s="435"/>
      <c r="K215" s="435"/>
      <c r="L215" s="436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</row>
    <row r="216" spans="1:73" s="292" customFormat="1" x14ac:dyDescent="0.2">
      <c r="A216" s="434"/>
      <c r="B216" s="435"/>
      <c r="C216" s="435"/>
      <c r="D216" s="435"/>
      <c r="E216" s="435"/>
      <c r="F216" s="435"/>
      <c r="G216" s="435"/>
      <c r="H216" s="435"/>
      <c r="I216" s="435"/>
      <c r="J216" s="435"/>
      <c r="K216" s="435"/>
      <c r="L216" s="436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</row>
    <row r="217" spans="1:73" x14ac:dyDescent="0.2">
      <c r="A217" s="437"/>
      <c r="B217" s="438"/>
      <c r="C217" s="438"/>
      <c r="D217" s="438"/>
      <c r="E217" s="438"/>
      <c r="F217" s="438"/>
      <c r="G217" s="438"/>
      <c r="H217" s="438"/>
      <c r="I217" s="438"/>
      <c r="J217" s="438"/>
      <c r="K217" s="438"/>
      <c r="L217" s="439"/>
    </row>
    <row r="218" spans="1:73" x14ac:dyDescent="0.2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</row>
    <row r="219" spans="1:73" x14ac:dyDescent="0.2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</row>
    <row r="220" spans="1:73" x14ac:dyDescent="0.2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</row>
  </sheetData>
  <protectedRanges>
    <protectedRange sqref="BD2:BF43 BC1:BE1" name="Område5"/>
    <protectedRange sqref="E100 E102 E105 C107:F108" name="Område3"/>
    <protectedRange sqref="F100:J103" name="Område1"/>
    <protectedRange sqref="M131:M146 K131:L148 L119:N130" name="Område2"/>
    <protectedRange sqref="C119:E148" name="Område4"/>
  </protectedRanges>
  <mergeCells count="69">
    <mergeCell ref="B128:B130"/>
    <mergeCell ref="M119:P120"/>
    <mergeCell ref="B116:E116"/>
    <mergeCell ref="AA93:AB93"/>
    <mergeCell ref="AF87:AG88"/>
    <mergeCell ref="AA87:AA88"/>
    <mergeCell ref="AB87:AB88"/>
    <mergeCell ref="AC87:AC88"/>
    <mergeCell ref="AD87:AD88"/>
    <mergeCell ref="AE87:AE88"/>
    <mergeCell ref="B99:E99"/>
    <mergeCell ref="B5:E5"/>
    <mergeCell ref="L3:M3"/>
    <mergeCell ref="AV5:AW5"/>
    <mergeCell ref="AX5:AY5"/>
    <mergeCell ref="AA66:AB66"/>
    <mergeCell ref="AA86:AE86"/>
    <mergeCell ref="AH72:AM72"/>
    <mergeCell ref="AP5:AR5"/>
    <mergeCell ref="AM5:AO5"/>
    <mergeCell ref="AA60:AA61"/>
    <mergeCell ref="AH45:AM45"/>
    <mergeCell ref="AF60:AG61"/>
    <mergeCell ref="AJ64:AL64"/>
    <mergeCell ref="AA59:AE59"/>
    <mergeCell ref="AB60:AB61"/>
    <mergeCell ref="R160:T160"/>
    <mergeCell ref="P164:Q171"/>
    <mergeCell ref="P172:Q174"/>
    <mergeCell ref="AJ91:AL91"/>
    <mergeCell ref="H3:J3"/>
    <mergeCell ref="Q3:S3"/>
    <mergeCell ref="U3:V3"/>
    <mergeCell ref="AC60:AC61"/>
    <mergeCell ref="AD60:AD61"/>
    <mergeCell ref="AE60:AE61"/>
    <mergeCell ref="N172:O174"/>
    <mergeCell ref="P159:Q159"/>
    <mergeCell ref="P160:Q160"/>
    <mergeCell ref="B153:J153"/>
    <mergeCell ref="AH64:AI64"/>
    <mergeCell ref="AH91:AI91"/>
    <mergeCell ref="R155:T155"/>
    <mergeCell ref="P155:Q155"/>
    <mergeCell ref="N155:O155"/>
    <mergeCell ref="N157:O157"/>
    <mergeCell ref="N159:O159"/>
    <mergeCell ref="N158:O158"/>
    <mergeCell ref="N156:O156"/>
    <mergeCell ref="P156:Q156"/>
    <mergeCell ref="R158:T158"/>
    <mergeCell ref="R157:T157"/>
    <mergeCell ref="R156:T156"/>
    <mergeCell ref="P158:Q158"/>
    <mergeCell ref="P157:Q157"/>
    <mergeCell ref="R159:T159"/>
    <mergeCell ref="M172:M174"/>
    <mergeCell ref="M164:M171"/>
    <mergeCell ref="R164:T171"/>
    <mergeCell ref="R162:T162"/>
    <mergeCell ref="R161:T161"/>
    <mergeCell ref="R172:T174"/>
    <mergeCell ref="R163:T163"/>
    <mergeCell ref="N163:O163"/>
    <mergeCell ref="P163:Q163"/>
    <mergeCell ref="P161:Q161"/>
    <mergeCell ref="N164:O171"/>
    <mergeCell ref="P162:Q162"/>
    <mergeCell ref="N162:O162"/>
  </mergeCells>
  <conditionalFormatting sqref="AI16 G172 G181">
    <cfRule type="containsText" dxfId="180" priority="39" operator="containsText" text="Fail">
      <formula>NOT(ISERROR(SEARCH("Fail",G16)))</formula>
    </cfRule>
    <cfRule type="containsText" dxfId="179" priority="40" operator="containsText" text="Pass">
      <formula>NOT(ISERROR(SEARCH("Pass",G16)))</formula>
    </cfRule>
  </conditionalFormatting>
  <conditionalFormatting sqref="AI37:AJ37 AI26:AJ26 AJ16">
    <cfRule type="containsText" dxfId="178" priority="37" operator="containsText" text="Fail">
      <formula>NOT(ISERROR(SEARCH("Fail",AI16)))</formula>
    </cfRule>
    <cfRule type="containsText" dxfId="177" priority="38" operator="containsText" text="Pass">
      <formula>NOT(ISERROR(SEARCH("Pass",AI16)))</formula>
    </cfRule>
  </conditionalFormatting>
  <conditionalFormatting sqref="AD12 AD19">
    <cfRule type="containsText" dxfId="176" priority="35" operator="containsText" text="Fail">
      <formula>NOT(ISERROR(SEARCH("Fail",AD12)))</formula>
    </cfRule>
    <cfRule type="containsText" dxfId="175" priority="36" operator="containsText" text="Pass">
      <formula>NOT(ISERROR(SEARCH("Pass",AD12)))</formula>
    </cfRule>
  </conditionalFormatting>
  <conditionalFormatting sqref="AA27:AA28 AA9:AA10">
    <cfRule type="containsText" dxfId="174" priority="33" operator="containsText" text="Fail">
      <formula>NOT(ISERROR(SEARCH("Fail",AA9)))</formula>
    </cfRule>
    <cfRule type="containsText" dxfId="173" priority="34" operator="containsText" text="Pass">
      <formula>NOT(ISERROR(SEARCH("Pass",AA9)))</formula>
    </cfRule>
  </conditionalFormatting>
  <conditionalFormatting sqref="X26 V26 W14:X14 W10:X10">
    <cfRule type="containsText" dxfId="172" priority="31" operator="containsText" text="Fail">
      <formula>NOT(ISERROR(SEARCH("Fail",V10)))</formula>
    </cfRule>
    <cfRule type="containsText" dxfId="171" priority="32" operator="containsText" text="Pass">
      <formula>NOT(ISERROR(SEARCH("Pass",V10)))</formula>
    </cfRule>
  </conditionalFormatting>
  <conditionalFormatting sqref="O36 M36 O26 M26 O16 M16">
    <cfRule type="containsText" dxfId="170" priority="29" operator="containsText" text="Fail">
      <formula>NOT(ISERROR(SEARCH("Fail",M16)))</formula>
    </cfRule>
    <cfRule type="containsText" dxfId="169" priority="30" operator="containsText" text="Pass">
      <formula>NOT(ISERROR(SEARCH("Pass",M16)))</formula>
    </cfRule>
  </conditionalFormatting>
  <conditionalFormatting sqref="I131">
    <cfRule type="containsText" dxfId="168" priority="23" operator="containsText" text="Fail">
      <formula>NOT(ISERROR(SEARCH("Fail",I131)))</formula>
    </cfRule>
    <cfRule type="containsText" dxfId="167" priority="24" operator="containsText" text="Pass">
      <formula>NOT(ISERROR(SEARCH("Pass",I131)))</formula>
    </cfRule>
  </conditionalFormatting>
  <conditionalFormatting sqref="G163">
    <cfRule type="containsText" dxfId="166" priority="21" operator="containsText" text="Fail">
      <formula>NOT(ISERROR(SEARCH("Fail",G163)))</formula>
    </cfRule>
    <cfRule type="containsText" dxfId="165" priority="22" operator="containsText" text="Pass">
      <formula>NOT(ISERROR(SEARCH("Pass",G163)))</formula>
    </cfRule>
  </conditionalFormatting>
  <conditionalFormatting sqref="G171">
    <cfRule type="containsText" dxfId="164" priority="13" operator="containsText" text="Fail">
      <formula>NOT(ISERROR(SEARCH("Fail",G171)))</formula>
    </cfRule>
    <cfRule type="containsText" dxfId="163" priority="14" operator="containsText" text="Pass">
      <formula>NOT(ISERROR(SEARCH("Pass",G171)))</formula>
    </cfRule>
  </conditionalFormatting>
  <conditionalFormatting sqref="G180">
    <cfRule type="containsText" dxfId="162" priority="11" operator="containsText" text="Fail">
      <formula>NOT(ISERROR(SEARCH("Fail",G180)))</formula>
    </cfRule>
    <cfRule type="containsText" dxfId="161" priority="12" operator="containsText" text="Pass">
      <formula>NOT(ISERROR(SEARCH("Pass",G180)))</formula>
    </cfRule>
  </conditionalFormatting>
  <conditionalFormatting sqref="G189">
    <cfRule type="containsText" dxfId="160" priority="9" operator="containsText" text="Fail">
      <formula>NOT(ISERROR(SEARCH("Fail",G189)))</formula>
    </cfRule>
    <cfRule type="containsText" dxfId="159" priority="10" operator="containsText" text="Pass">
      <formula>NOT(ISERROR(SEARCH("Pass",G189)))</formula>
    </cfRule>
  </conditionalFormatting>
  <conditionalFormatting sqref="J7:J43 S7:S43">
    <cfRule type="containsText" dxfId="158" priority="8" operator="containsText" text="Fail">
      <formula>NOT(ISERROR(SEARCH("Fail",J7)))</formula>
    </cfRule>
  </conditionalFormatting>
  <conditionalFormatting sqref="E163:F163">
    <cfRule type="cellIs" dxfId="157" priority="7" operator="equal">
      <formula>"Fail"</formula>
    </cfRule>
  </conditionalFormatting>
  <conditionalFormatting sqref="E171:F171">
    <cfRule type="cellIs" dxfId="156" priority="3" operator="equal">
      <formula>"Fail"</formula>
    </cfRule>
  </conditionalFormatting>
  <conditionalFormatting sqref="E180:F180">
    <cfRule type="cellIs" dxfId="155" priority="2" operator="equal">
      <formula>"Fail"</formula>
    </cfRule>
  </conditionalFormatting>
  <conditionalFormatting sqref="E189:F189">
    <cfRule type="cellIs" dxfId="154" priority="1" operator="equal">
      <formula>"Fail"</formula>
    </cfRule>
  </conditionalFormatting>
  <dataValidations count="5">
    <dataValidation type="list" allowBlank="1" showInputMessage="1" showErrorMessage="1" sqref="E100 E102">
      <formula1>Lysfelt</formula1>
    </dataValidation>
    <dataValidation type="list" allowBlank="1" showInputMessage="1" showErrorMessage="1" sqref="E168:F169 E186:F187 E160:F161 E177:F178">
      <formula1>Perp</formula1>
    </dataValidation>
    <dataValidation type="list" allowBlank="1" showInputMessage="1" showErrorMessage="1" sqref="E157:F157 E165:F165 E183:F183 E174:F174">
      <formula1>Bildekval_LKO</formula1>
    </dataValidation>
    <dataValidation type="list" allowBlank="1" showInputMessage="1" showErrorMessage="1" sqref="E158:F158 E166:F166 E184:F184 E175:F175">
      <formula1>Bildekval_Dynamisk_område</formula1>
    </dataValidation>
    <dataValidation type="list" allowBlank="1" showInputMessage="1" showErrorMessage="1" sqref="E162:F162 E170:F170 E188:F188 E179:F179">
      <formula1>Homogenitet</formula1>
    </dataValidation>
  </dataValidations>
  <pageMargins left="0.7" right="0.7" top="0.75" bottom="0.75" header="0.3" footer="0.3"/>
  <pageSetup paperSize="9" orientation="portrait" r:id="rId1"/>
  <ignoredErrors>
    <ignoredError sqref="AC29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tabColor rgb="FF92D050"/>
  </sheetPr>
  <dimension ref="B2:AN159"/>
  <sheetViews>
    <sheetView zoomScale="85" zoomScaleNormal="85" workbookViewId="0">
      <selection activeCell="I49" sqref="I49"/>
    </sheetView>
  </sheetViews>
  <sheetFormatPr baseColWidth="10" defaultColWidth="9.140625" defaultRowHeight="12.75" x14ac:dyDescent="0.2"/>
  <cols>
    <col min="1" max="1" width="2.7109375" style="162" customWidth="1"/>
    <col min="2" max="2" width="16.140625" style="162" customWidth="1"/>
    <col min="3" max="3" width="10.28515625" style="161" customWidth="1"/>
    <col min="4" max="7" width="11.140625" style="161" customWidth="1"/>
    <col min="8" max="8" width="2" style="161" customWidth="1"/>
    <col min="9" max="9" width="9.28515625" style="162" bestFit="1" customWidth="1"/>
    <col min="10" max="10" width="7.7109375" style="162" customWidth="1"/>
    <col min="11" max="11" width="9.28515625" style="162" bestFit="1" customWidth="1"/>
    <col min="12" max="12" width="5.28515625" style="162" customWidth="1"/>
    <col min="13" max="13" width="12.140625" style="162" bestFit="1" customWidth="1"/>
    <col min="14" max="14" width="6.85546875" style="162" customWidth="1"/>
    <col min="15" max="15" width="9.7109375" style="162" bestFit="1" customWidth="1"/>
    <col min="16" max="16" width="2.85546875" style="162" customWidth="1"/>
    <col min="17" max="17" width="2.28515625" style="162" customWidth="1"/>
    <col min="18" max="18" width="6.140625" style="162" customWidth="1"/>
    <col min="19" max="22" width="0" style="162" hidden="1" customWidth="1"/>
    <col min="23" max="23" width="8.42578125" style="162" customWidth="1"/>
    <col min="24" max="24" width="9.140625" style="162"/>
    <col min="25" max="25" width="6.7109375" style="162" customWidth="1"/>
    <col min="26" max="26" width="7.28515625" style="162" customWidth="1"/>
    <col min="27" max="28" width="0" style="162" hidden="1" customWidth="1"/>
    <col min="29" max="29" width="3.42578125" style="162" customWidth="1"/>
    <col min="30" max="30" width="13.85546875" style="162" customWidth="1"/>
    <col min="31" max="31" width="11.28515625" style="162" customWidth="1"/>
    <col min="32" max="32" width="12.5703125" style="162" customWidth="1"/>
    <col min="33" max="33" width="15.7109375" style="162" customWidth="1"/>
    <col min="34" max="34" width="14.5703125" style="162" customWidth="1"/>
    <col min="35" max="35" width="13.85546875" style="162" customWidth="1"/>
    <col min="36" max="36" width="12.140625" style="162" customWidth="1"/>
    <col min="37" max="256" width="9.140625" style="162"/>
    <col min="257" max="257" width="2.7109375" style="162" customWidth="1"/>
    <col min="258" max="258" width="16.140625" style="162" customWidth="1"/>
    <col min="259" max="259" width="10.28515625" style="162" customWidth="1"/>
    <col min="260" max="263" width="11.140625" style="162" customWidth="1"/>
    <col min="264" max="264" width="2" style="162" customWidth="1"/>
    <col min="265" max="265" width="9.28515625" style="162" bestFit="1" customWidth="1"/>
    <col min="266" max="266" width="4.5703125" style="162" customWidth="1"/>
    <col min="267" max="267" width="9.28515625" style="162" bestFit="1" customWidth="1"/>
    <col min="268" max="268" width="4.5703125" style="162" customWidth="1"/>
    <col min="269" max="269" width="12.140625" style="162" bestFit="1" customWidth="1"/>
    <col min="270" max="270" width="6.85546875" style="162" customWidth="1"/>
    <col min="271" max="271" width="9.7109375" style="162" bestFit="1" customWidth="1"/>
    <col min="272" max="272" width="2.85546875" style="162" customWidth="1"/>
    <col min="273" max="273" width="2.28515625" style="162" customWidth="1"/>
    <col min="274" max="274" width="6.140625" style="162" customWidth="1"/>
    <col min="275" max="278" width="0" style="162" hidden="1" customWidth="1"/>
    <col min="279" max="279" width="8.42578125" style="162" customWidth="1"/>
    <col min="280" max="280" width="9.140625" style="162"/>
    <col min="281" max="281" width="5" style="162" customWidth="1"/>
    <col min="282" max="282" width="7.28515625" style="162" customWidth="1"/>
    <col min="283" max="284" width="0" style="162" hidden="1" customWidth="1"/>
    <col min="285" max="285" width="3.42578125" style="162" customWidth="1"/>
    <col min="286" max="286" width="13.85546875" style="162" customWidth="1"/>
    <col min="287" max="287" width="11.28515625" style="162" customWidth="1"/>
    <col min="288" max="288" width="12.5703125" style="162" customWidth="1"/>
    <col min="289" max="289" width="15.7109375" style="162" customWidth="1"/>
    <col min="290" max="290" width="14.5703125" style="162" customWidth="1"/>
    <col min="291" max="291" width="13.85546875" style="162" customWidth="1"/>
    <col min="292" max="292" width="12.140625" style="162" customWidth="1"/>
    <col min="293" max="512" width="9.140625" style="162"/>
    <col min="513" max="513" width="2.7109375" style="162" customWidth="1"/>
    <col min="514" max="514" width="16.140625" style="162" customWidth="1"/>
    <col min="515" max="515" width="10.28515625" style="162" customWidth="1"/>
    <col min="516" max="519" width="11.140625" style="162" customWidth="1"/>
    <col min="520" max="520" width="2" style="162" customWidth="1"/>
    <col min="521" max="521" width="9.28515625" style="162" bestFit="1" customWidth="1"/>
    <col min="522" max="522" width="4.5703125" style="162" customWidth="1"/>
    <col min="523" max="523" width="9.28515625" style="162" bestFit="1" customWidth="1"/>
    <col min="524" max="524" width="4.5703125" style="162" customWidth="1"/>
    <col min="525" max="525" width="12.140625" style="162" bestFit="1" customWidth="1"/>
    <col min="526" max="526" width="6.85546875" style="162" customWidth="1"/>
    <col min="527" max="527" width="9.7109375" style="162" bestFit="1" customWidth="1"/>
    <col min="528" max="528" width="2.85546875" style="162" customWidth="1"/>
    <col min="529" max="529" width="2.28515625" style="162" customWidth="1"/>
    <col min="530" max="530" width="6.140625" style="162" customWidth="1"/>
    <col min="531" max="534" width="0" style="162" hidden="1" customWidth="1"/>
    <col min="535" max="535" width="8.42578125" style="162" customWidth="1"/>
    <col min="536" max="536" width="9.140625" style="162"/>
    <col min="537" max="537" width="5" style="162" customWidth="1"/>
    <col min="538" max="538" width="7.28515625" style="162" customWidth="1"/>
    <col min="539" max="540" width="0" style="162" hidden="1" customWidth="1"/>
    <col min="541" max="541" width="3.42578125" style="162" customWidth="1"/>
    <col min="542" max="542" width="13.85546875" style="162" customWidth="1"/>
    <col min="543" max="543" width="11.28515625" style="162" customWidth="1"/>
    <col min="544" max="544" width="12.5703125" style="162" customWidth="1"/>
    <col min="545" max="545" width="15.7109375" style="162" customWidth="1"/>
    <col min="546" max="546" width="14.5703125" style="162" customWidth="1"/>
    <col min="547" max="547" width="13.85546875" style="162" customWidth="1"/>
    <col min="548" max="548" width="12.140625" style="162" customWidth="1"/>
    <col min="549" max="768" width="9.140625" style="162"/>
    <col min="769" max="769" width="2.7109375" style="162" customWidth="1"/>
    <col min="770" max="770" width="16.140625" style="162" customWidth="1"/>
    <col min="771" max="771" width="10.28515625" style="162" customWidth="1"/>
    <col min="772" max="775" width="11.140625" style="162" customWidth="1"/>
    <col min="776" max="776" width="2" style="162" customWidth="1"/>
    <col min="777" max="777" width="9.28515625" style="162" bestFit="1" customWidth="1"/>
    <col min="778" max="778" width="4.5703125" style="162" customWidth="1"/>
    <col min="779" max="779" width="9.28515625" style="162" bestFit="1" customWidth="1"/>
    <col min="780" max="780" width="4.5703125" style="162" customWidth="1"/>
    <col min="781" max="781" width="12.140625" style="162" bestFit="1" customWidth="1"/>
    <col min="782" max="782" width="6.85546875" style="162" customWidth="1"/>
    <col min="783" max="783" width="9.7109375" style="162" bestFit="1" customWidth="1"/>
    <col min="784" max="784" width="2.85546875" style="162" customWidth="1"/>
    <col min="785" max="785" width="2.28515625" style="162" customWidth="1"/>
    <col min="786" max="786" width="6.140625" style="162" customWidth="1"/>
    <col min="787" max="790" width="0" style="162" hidden="1" customWidth="1"/>
    <col min="791" max="791" width="8.42578125" style="162" customWidth="1"/>
    <col min="792" max="792" width="9.140625" style="162"/>
    <col min="793" max="793" width="5" style="162" customWidth="1"/>
    <col min="794" max="794" width="7.28515625" style="162" customWidth="1"/>
    <col min="795" max="796" width="0" style="162" hidden="1" customWidth="1"/>
    <col min="797" max="797" width="3.42578125" style="162" customWidth="1"/>
    <col min="798" max="798" width="13.85546875" style="162" customWidth="1"/>
    <col min="799" max="799" width="11.28515625" style="162" customWidth="1"/>
    <col min="800" max="800" width="12.5703125" style="162" customWidth="1"/>
    <col min="801" max="801" width="15.7109375" style="162" customWidth="1"/>
    <col min="802" max="802" width="14.5703125" style="162" customWidth="1"/>
    <col min="803" max="803" width="13.85546875" style="162" customWidth="1"/>
    <col min="804" max="804" width="12.140625" style="162" customWidth="1"/>
    <col min="805" max="1024" width="9.140625" style="162"/>
    <col min="1025" max="1025" width="2.7109375" style="162" customWidth="1"/>
    <col min="1026" max="1026" width="16.140625" style="162" customWidth="1"/>
    <col min="1027" max="1027" width="10.28515625" style="162" customWidth="1"/>
    <col min="1028" max="1031" width="11.140625" style="162" customWidth="1"/>
    <col min="1032" max="1032" width="2" style="162" customWidth="1"/>
    <col min="1033" max="1033" width="9.28515625" style="162" bestFit="1" customWidth="1"/>
    <col min="1034" max="1034" width="4.5703125" style="162" customWidth="1"/>
    <col min="1035" max="1035" width="9.28515625" style="162" bestFit="1" customWidth="1"/>
    <col min="1036" max="1036" width="4.5703125" style="162" customWidth="1"/>
    <col min="1037" max="1037" width="12.140625" style="162" bestFit="1" customWidth="1"/>
    <col min="1038" max="1038" width="6.85546875" style="162" customWidth="1"/>
    <col min="1039" max="1039" width="9.7109375" style="162" bestFit="1" customWidth="1"/>
    <col min="1040" max="1040" width="2.85546875" style="162" customWidth="1"/>
    <col min="1041" max="1041" width="2.28515625" style="162" customWidth="1"/>
    <col min="1042" max="1042" width="6.140625" style="162" customWidth="1"/>
    <col min="1043" max="1046" width="0" style="162" hidden="1" customWidth="1"/>
    <col min="1047" max="1047" width="8.42578125" style="162" customWidth="1"/>
    <col min="1048" max="1048" width="9.140625" style="162"/>
    <col min="1049" max="1049" width="5" style="162" customWidth="1"/>
    <col min="1050" max="1050" width="7.28515625" style="162" customWidth="1"/>
    <col min="1051" max="1052" width="0" style="162" hidden="1" customWidth="1"/>
    <col min="1053" max="1053" width="3.42578125" style="162" customWidth="1"/>
    <col min="1054" max="1054" width="13.85546875" style="162" customWidth="1"/>
    <col min="1055" max="1055" width="11.28515625" style="162" customWidth="1"/>
    <col min="1056" max="1056" width="12.5703125" style="162" customWidth="1"/>
    <col min="1057" max="1057" width="15.7109375" style="162" customWidth="1"/>
    <col min="1058" max="1058" width="14.5703125" style="162" customWidth="1"/>
    <col min="1059" max="1059" width="13.85546875" style="162" customWidth="1"/>
    <col min="1060" max="1060" width="12.140625" style="162" customWidth="1"/>
    <col min="1061" max="1280" width="9.140625" style="162"/>
    <col min="1281" max="1281" width="2.7109375" style="162" customWidth="1"/>
    <col min="1282" max="1282" width="16.140625" style="162" customWidth="1"/>
    <col min="1283" max="1283" width="10.28515625" style="162" customWidth="1"/>
    <col min="1284" max="1287" width="11.140625" style="162" customWidth="1"/>
    <col min="1288" max="1288" width="2" style="162" customWidth="1"/>
    <col min="1289" max="1289" width="9.28515625" style="162" bestFit="1" customWidth="1"/>
    <col min="1290" max="1290" width="4.5703125" style="162" customWidth="1"/>
    <col min="1291" max="1291" width="9.28515625" style="162" bestFit="1" customWidth="1"/>
    <col min="1292" max="1292" width="4.5703125" style="162" customWidth="1"/>
    <col min="1293" max="1293" width="12.140625" style="162" bestFit="1" customWidth="1"/>
    <col min="1294" max="1294" width="6.85546875" style="162" customWidth="1"/>
    <col min="1295" max="1295" width="9.7109375" style="162" bestFit="1" customWidth="1"/>
    <col min="1296" max="1296" width="2.85546875" style="162" customWidth="1"/>
    <col min="1297" max="1297" width="2.28515625" style="162" customWidth="1"/>
    <col min="1298" max="1298" width="6.140625" style="162" customWidth="1"/>
    <col min="1299" max="1302" width="0" style="162" hidden="1" customWidth="1"/>
    <col min="1303" max="1303" width="8.42578125" style="162" customWidth="1"/>
    <col min="1304" max="1304" width="9.140625" style="162"/>
    <col min="1305" max="1305" width="5" style="162" customWidth="1"/>
    <col min="1306" max="1306" width="7.28515625" style="162" customWidth="1"/>
    <col min="1307" max="1308" width="0" style="162" hidden="1" customWidth="1"/>
    <col min="1309" max="1309" width="3.42578125" style="162" customWidth="1"/>
    <col min="1310" max="1310" width="13.85546875" style="162" customWidth="1"/>
    <col min="1311" max="1311" width="11.28515625" style="162" customWidth="1"/>
    <col min="1312" max="1312" width="12.5703125" style="162" customWidth="1"/>
    <col min="1313" max="1313" width="15.7109375" style="162" customWidth="1"/>
    <col min="1314" max="1314" width="14.5703125" style="162" customWidth="1"/>
    <col min="1315" max="1315" width="13.85546875" style="162" customWidth="1"/>
    <col min="1316" max="1316" width="12.140625" style="162" customWidth="1"/>
    <col min="1317" max="1536" width="9.140625" style="162"/>
    <col min="1537" max="1537" width="2.7109375" style="162" customWidth="1"/>
    <col min="1538" max="1538" width="16.140625" style="162" customWidth="1"/>
    <col min="1539" max="1539" width="10.28515625" style="162" customWidth="1"/>
    <col min="1540" max="1543" width="11.140625" style="162" customWidth="1"/>
    <col min="1544" max="1544" width="2" style="162" customWidth="1"/>
    <col min="1545" max="1545" width="9.28515625" style="162" bestFit="1" customWidth="1"/>
    <col min="1546" max="1546" width="4.5703125" style="162" customWidth="1"/>
    <col min="1547" max="1547" width="9.28515625" style="162" bestFit="1" customWidth="1"/>
    <col min="1548" max="1548" width="4.5703125" style="162" customWidth="1"/>
    <col min="1549" max="1549" width="12.140625" style="162" bestFit="1" customWidth="1"/>
    <col min="1550" max="1550" width="6.85546875" style="162" customWidth="1"/>
    <col min="1551" max="1551" width="9.7109375" style="162" bestFit="1" customWidth="1"/>
    <col min="1552" max="1552" width="2.85546875" style="162" customWidth="1"/>
    <col min="1553" max="1553" width="2.28515625" style="162" customWidth="1"/>
    <col min="1554" max="1554" width="6.140625" style="162" customWidth="1"/>
    <col min="1555" max="1558" width="0" style="162" hidden="1" customWidth="1"/>
    <col min="1559" max="1559" width="8.42578125" style="162" customWidth="1"/>
    <col min="1560" max="1560" width="9.140625" style="162"/>
    <col min="1561" max="1561" width="5" style="162" customWidth="1"/>
    <col min="1562" max="1562" width="7.28515625" style="162" customWidth="1"/>
    <col min="1563" max="1564" width="0" style="162" hidden="1" customWidth="1"/>
    <col min="1565" max="1565" width="3.42578125" style="162" customWidth="1"/>
    <col min="1566" max="1566" width="13.85546875" style="162" customWidth="1"/>
    <col min="1567" max="1567" width="11.28515625" style="162" customWidth="1"/>
    <col min="1568" max="1568" width="12.5703125" style="162" customWidth="1"/>
    <col min="1569" max="1569" width="15.7109375" style="162" customWidth="1"/>
    <col min="1570" max="1570" width="14.5703125" style="162" customWidth="1"/>
    <col min="1571" max="1571" width="13.85546875" style="162" customWidth="1"/>
    <col min="1572" max="1572" width="12.140625" style="162" customWidth="1"/>
    <col min="1573" max="1792" width="9.140625" style="162"/>
    <col min="1793" max="1793" width="2.7109375" style="162" customWidth="1"/>
    <col min="1794" max="1794" width="16.140625" style="162" customWidth="1"/>
    <col min="1795" max="1795" width="10.28515625" style="162" customWidth="1"/>
    <col min="1796" max="1799" width="11.140625" style="162" customWidth="1"/>
    <col min="1800" max="1800" width="2" style="162" customWidth="1"/>
    <col min="1801" max="1801" width="9.28515625" style="162" bestFit="1" customWidth="1"/>
    <col min="1802" max="1802" width="4.5703125" style="162" customWidth="1"/>
    <col min="1803" max="1803" width="9.28515625" style="162" bestFit="1" customWidth="1"/>
    <col min="1804" max="1804" width="4.5703125" style="162" customWidth="1"/>
    <col min="1805" max="1805" width="12.140625" style="162" bestFit="1" customWidth="1"/>
    <col min="1806" max="1806" width="6.85546875" style="162" customWidth="1"/>
    <col min="1807" max="1807" width="9.7109375" style="162" bestFit="1" customWidth="1"/>
    <col min="1808" max="1808" width="2.85546875" style="162" customWidth="1"/>
    <col min="1809" max="1809" width="2.28515625" style="162" customWidth="1"/>
    <col min="1810" max="1810" width="6.140625" style="162" customWidth="1"/>
    <col min="1811" max="1814" width="0" style="162" hidden="1" customWidth="1"/>
    <col min="1815" max="1815" width="8.42578125" style="162" customWidth="1"/>
    <col min="1816" max="1816" width="9.140625" style="162"/>
    <col min="1817" max="1817" width="5" style="162" customWidth="1"/>
    <col min="1818" max="1818" width="7.28515625" style="162" customWidth="1"/>
    <col min="1819" max="1820" width="0" style="162" hidden="1" customWidth="1"/>
    <col min="1821" max="1821" width="3.42578125" style="162" customWidth="1"/>
    <col min="1822" max="1822" width="13.85546875" style="162" customWidth="1"/>
    <col min="1823" max="1823" width="11.28515625" style="162" customWidth="1"/>
    <col min="1824" max="1824" width="12.5703125" style="162" customWidth="1"/>
    <col min="1825" max="1825" width="15.7109375" style="162" customWidth="1"/>
    <col min="1826" max="1826" width="14.5703125" style="162" customWidth="1"/>
    <col min="1827" max="1827" width="13.85546875" style="162" customWidth="1"/>
    <col min="1828" max="1828" width="12.140625" style="162" customWidth="1"/>
    <col min="1829" max="2048" width="9.140625" style="162"/>
    <col min="2049" max="2049" width="2.7109375" style="162" customWidth="1"/>
    <col min="2050" max="2050" width="16.140625" style="162" customWidth="1"/>
    <col min="2051" max="2051" width="10.28515625" style="162" customWidth="1"/>
    <col min="2052" max="2055" width="11.140625" style="162" customWidth="1"/>
    <col min="2056" max="2056" width="2" style="162" customWidth="1"/>
    <col min="2057" max="2057" width="9.28515625" style="162" bestFit="1" customWidth="1"/>
    <col min="2058" max="2058" width="4.5703125" style="162" customWidth="1"/>
    <col min="2059" max="2059" width="9.28515625" style="162" bestFit="1" customWidth="1"/>
    <col min="2060" max="2060" width="4.5703125" style="162" customWidth="1"/>
    <col min="2061" max="2061" width="12.140625" style="162" bestFit="1" customWidth="1"/>
    <col min="2062" max="2062" width="6.85546875" style="162" customWidth="1"/>
    <col min="2063" max="2063" width="9.7109375" style="162" bestFit="1" customWidth="1"/>
    <col min="2064" max="2064" width="2.85546875" style="162" customWidth="1"/>
    <col min="2065" max="2065" width="2.28515625" style="162" customWidth="1"/>
    <col min="2066" max="2066" width="6.140625" style="162" customWidth="1"/>
    <col min="2067" max="2070" width="0" style="162" hidden="1" customWidth="1"/>
    <col min="2071" max="2071" width="8.42578125" style="162" customWidth="1"/>
    <col min="2072" max="2072" width="9.140625" style="162"/>
    <col min="2073" max="2073" width="5" style="162" customWidth="1"/>
    <col min="2074" max="2074" width="7.28515625" style="162" customWidth="1"/>
    <col min="2075" max="2076" width="0" style="162" hidden="1" customWidth="1"/>
    <col min="2077" max="2077" width="3.42578125" style="162" customWidth="1"/>
    <col min="2078" max="2078" width="13.85546875" style="162" customWidth="1"/>
    <col min="2079" max="2079" width="11.28515625" style="162" customWidth="1"/>
    <col min="2080" max="2080" width="12.5703125" style="162" customWidth="1"/>
    <col min="2081" max="2081" width="15.7109375" style="162" customWidth="1"/>
    <col min="2082" max="2082" width="14.5703125" style="162" customWidth="1"/>
    <col min="2083" max="2083" width="13.85546875" style="162" customWidth="1"/>
    <col min="2084" max="2084" width="12.140625" style="162" customWidth="1"/>
    <col min="2085" max="2304" width="9.140625" style="162"/>
    <col min="2305" max="2305" width="2.7109375" style="162" customWidth="1"/>
    <col min="2306" max="2306" width="16.140625" style="162" customWidth="1"/>
    <col min="2307" max="2307" width="10.28515625" style="162" customWidth="1"/>
    <col min="2308" max="2311" width="11.140625" style="162" customWidth="1"/>
    <col min="2312" max="2312" width="2" style="162" customWidth="1"/>
    <col min="2313" max="2313" width="9.28515625" style="162" bestFit="1" customWidth="1"/>
    <col min="2314" max="2314" width="4.5703125" style="162" customWidth="1"/>
    <col min="2315" max="2315" width="9.28515625" style="162" bestFit="1" customWidth="1"/>
    <col min="2316" max="2316" width="4.5703125" style="162" customWidth="1"/>
    <col min="2317" max="2317" width="12.140625" style="162" bestFit="1" customWidth="1"/>
    <col min="2318" max="2318" width="6.85546875" style="162" customWidth="1"/>
    <col min="2319" max="2319" width="9.7109375" style="162" bestFit="1" customWidth="1"/>
    <col min="2320" max="2320" width="2.85546875" style="162" customWidth="1"/>
    <col min="2321" max="2321" width="2.28515625" style="162" customWidth="1"/>
    <col min="2322" max="2322" width="6.140625" style="162" customWidth="1"/>
    <col min="2323" max="2326" width="0" style="162" hidden="1" customWidth="1"/>
    <col min="2327" max="2327" width="8.42578125" style="162" customWidth="1"/>
    <col min="2328" max="2328" width="9.140625" style="162"/>
    <col min="2329" max="2329" width="5" style="162" customWidth="1"/>
    <col min="2330" max="2330" width="7.28515625" style="162" customWidth="1"/>
    <col min="2331" max="2332" width="0" style="162" hidden="1" customWidth="1"/>
    <col min="2333" max="2333" width="3.42578125" style="162" customWidth="1"/>
    <col min="2334" max="2334" width="13.85546875" style="162" customWidth="1"/>
    <col min="2335" max="2335" width="11.28515625" style="162" customWidth="1"/>
    <col min="2336" max="2336" width="12.5703125" style="162" customWidth="1"/>
    <col min="2337" max="2337" width="15.7109375" style="162" customWidth="1"/>
    <col min="2338" max="2338" width="14.5703125" style="162" customWidth="1"/>
    <col min="2339" max="2339" width="13.85546875" style="162" customWidth="1"/>
    <col min="2340" max="2340" width="12.140625" style="162" customWidth="1"/>
    <col min="2341" max="2560" width="9.140625" style="162"/>
    <col min="2561" max="2561" width="2.7109375" style="162" customWidth="1"/>
    <col min="2562" max="2562" width="16.140625" style="162" customWidth="1"/>
    <col min="2563" max="2563" width="10.28515625" style="162" customWidth="1"/>
    <col min="2564" max="2567" width="11.140625" style="162" customWidth="1"/>
    <col min="2568" max="2568" width="2" style="162" customWidth="1"/>
    <col min="2569" max="2569" width="9.28515625" style="162" bestFit="1" customWidth="1"/>
    <col min="2570" max="2570" width="4.5703125" style="162" customWidth="1"/>
    <col min="2571" max="2571" width="9.28515625" style="162" bestFit="1" customWidth="1"/>
    <col min="2572" max="2572" width="4.5703125" style="162" customWidth="1"/>
    <col min="2573" max="2573" width="12.140625" style="162" bestFit="1" customWidth="1"/>
    <col min="2574" max="2574" width="6.85546875" style="162" customWidth="1"/>
    <col min="2575" max="2575" width="9.7109375" style="162" bestFit="1" customWidth="1"/>
    <col min="2576" max="2576" width="2.85546875" style="162" customWidth="1"/>
    <col min="2577" max="2577" width="2.28515625" style="162" customWidth="1"/>
    <col min="2578" max="2578" width="6.140625" style="162" customWidth="1"/>
    <col min="2579" max="2582" width="0" style="162" hidden="1" customWidth="1"/>
    <col min="2583" max="2583" width="8.42578125" style="162" customWidth="1"/>
    <col min="2584" max="2584" width="9.140625" style="162"/>
    <col min="2585" max="2585" width="5" style="162" customWidth="1"/>
    <col min="2586" max="2586" width="7.28515625" style="162" customWidth="1"/>
    <col min="2587" max="2588" width="0" style="162" hidden="1" customWidth="1"/>
    <col min="2589" max="2589" width="3.42578125" style="162" customWidth="1"/>
    <col min="2590" max="2590" width="13.85546875" style="162" customWidth="1"/>
    <col min="2591" max="2591" width="11.28515625" style="162" customWidth="1"/>
    <col min="2592" max="2592" width="12.5703125" style="162" customWidth="1"/>
    <col min="2593" max="2593" width="15.7109375" style="162" customWidth="1"/>
    <col min="2594" max="2594" width="14.5703125" style="162" customWidth="1"/>
    <col min="2595" max="2595" width="13.85546875" style="162" customWidth="1"/>
    <col min="2596" max="2596" width="12.140625" style="162" customWidth="1"/>
    <col min="2597" max="2816" width="9.140625" style="162"/>
    <col min="2817" max="2817" width="2.7109375" style="162" customWidth="1"/>
    <col min="2818" max="2818" width="16.140625" style="162" customWidth="1"/>
    <col min="2819" max="2819" width="10.28515625" style="162" customWidth="1"/>
    <col min="2820" max="2823" width="11.140625" style="162" customWidth="1"/>
    <col min="2824" max="2824" width="2" style="162" customWidth="1"/>
    <col min="2825" max="2825" width="9.28515625" style="162" bestFit="1" customWidth="1"/>
    <col min="2826" max="2826" width="4.5703125" style="162" customWidth="1"/>
    <col min="2827" max="2827" width="9.28515625" style="162" bestFit="1" customWidth="1"/>
    <col min="2828" max="2828" width="4.5703125" style="162" customWidth="1"/>
    <col min="2829" max="2829" width="12.140625" style="162" bestFit="1" customWidth="1"/>
    <col min="2830" max="2830" width="6.85546875" style="162" customWidth="1"/>
    <col min="2831" max="2831" width="9.7109375" style="162" bestFit="1" customWidth="1"/>
    <col min="2832" max="2832" width="2.85546875" style="162" customWidth="1"/>
    <col min="2833" max="2833" width="2.28515625" style="162" customWidth="1"/>
    <col min="2834" max="2834" width="6.140625" style="162" customWidth="1"/>
    <col min="2835" max="2838" width="0" style="162" hidden="1" customWidth="1"/>
    <col min="2839" max="2839" width="8.42578125" style="162" customWidth="1"/>
    <col min="2840" max="2840" width="9.140625" style="162"/>
    <col min="2841" max="2841" width="5" style="162" customWidth="1"/>
    <col min="2842" max="2842" width="7.28515625" style="162" customWidth="1"/>
    <col min="2843" max="2844" width="0" style="162" hidden="1" customWidth="1"/>
    <col min="2845" max="2845" width="3.42578125" style="162" customWidth="1"/>
    <col min="2846" max="2846" width="13.85546875" style="162" customWidth="1"/>
    <col min="2847" max="2847" width="11.28515625" style="162" customWidth="1"/>
    <col min="2848" max="2848" width="12.5703125" style="162" customWidth="1"/>
    <col min="2849" max="2849" width="15.7109375" style="162" customWidth="1"/>
    <col min="2850" max="2850" width="14.5703125" style="162" customWidth="1"/>
    <col min="2851" max="2851" width="13.85546875" style="162" customWidth="1"/>
    <col min="2852" max="2852" width="12.140625" style="162" customWidth="1"/>
    <col min="2853" max="3072" width="9.140625" style="162"/>
    <col min="3073" max="3073" width="2.7109375" style="162" customWidth="1"/>
    <col min="3074" max="3074" width="16.140625" style="162" customWidth="1"/>
    <col min="3075" max="3075" width="10.28515625" style="162" customWidth="1"/>
    <col min="3076" max="3079" width="11.140625" style="162" customWidth="1"/>
    <col min="3080" max="3080" width="2" style="162" customWidth="1"/>
    <col min="3081" max="3081" width="9.28515625" style="162" bestFit="1" customWidth="1"/>
    <col min="3082" max="3082" width="4.5703125" style="162" customWidth="1"/>
    <col min="3083" max="3083" width="9.28515625" style="162" bestFit="1" customWidth="1"/>
    <col min="3084" max="3084" width="4.5703125" style="162" customWidth="1"/>
    <col min="3085" max="3085" width="12.140625" style="162" bestFit="1" customWidth="1"/>
    <col min="3086" max="3086" width="6.85546875" style="162" customWidth="1"/>
    <col min="3087" max="3087" width="9.7109375" style="162" bestFit="1" customWidth="1"/>
    <col min="3088" max="3088" width="2.85546875" style="162" customWidth="1"/>
    <col min="3089" max="3089" width="2.28515625" style="162" customWidth="1"/>
    <col min="3090" max="3090" width="6.140625" style="162" customWidth="1"/>
    <col min="3091" max="3094" width="0" style="162" hidden="1" customWidth="1"/>
    <col min="3095" max="3095" width="8.42578125" style="162" customWidth="1"/>
    <col min="3096" max="3096" width="9.140625" style="162"/>
    <col min="3097" max="3097" width="5" style="162" customWidth="1"/>
    <col min="3098" max="3098" width="7.28515625" style="162" customWidth="1"/>
    <col min="3099" max="3100" width="0" style="162" hidden="1" customWidth="1"/>
    <col min="3101" max="3101" width="3.42578125" style="162" customWidth="1"/>
    <col min="3102" max="3102" width="13.85546875" style="162" customWidth="1"/>
    <col min="3103" max="3103" width="11.28515625" style="162" customWidth="1"/>
    <col min="3104" max="3104" width="12.5703125" style="162" customWidth="1"/>
    <col min="3105" max="3105" width="15.7109375" style="162" customWidth="1"/>
    <col min="3106" max="3106" width="14.5703125" style="162" customWidth="1"/>
    <col min="3107" max="3107" width="13.85546875" style="162" customWidth="1"/>
    <col min="3108" max="3108" width="12.140625" style="162" customWidth="1"/>
    <col min="3109" max="3328" width="9.140625" style="162"/>
    <col min="3329" max="3329" width="2.7109375" style="162" customWidth="1"/>
    <col min="3330" max="3330" width="16.140625" style="162" customWidth="1"/>
    <col min="3331" max="3331" width="10.28515625" style="162" customWidth="1"/>
    <col min="3332" max="3335" width="11.140625" style="162" customWidth="1"/>
    <col min="3336" max="3336" width="2" style="162" customWidth="1"/>
    <col min="3337" max="3337" width="9.28515625" style="162" bestFit="1" customWidth="1"/>
    <col min="3338" max="3338" width="4.5703125" style="162" customWidth="1"/>
    <col min="3339" max="3339" width="9.28515625" style="162" bestFit="1" customWidth="1"/>
    <col min="3340" max="3340" width="4.5703125" style="162" customWidth="1"/>
    <col min="3341" max="3341" width="12.140625" style="162" bestFit="1" customWidth="1"/>
    <col min="3342" max="3342" width="6.85546875" style="162" customWidth="1"/>
    <col min="3343" max="3343" width="9.7109375" style="162" bestFit="1" customWidth="1"/>
    <col min="3344" max="3344" width="2.85546875" style="162" customWidth="1"/>
    <col min="3345" max="3345" width="2.28515625" style="162" customWidth="1"/>
    <col min="3346" max="3346" width="6.140625" style="162" customWidth="1"/>
    <col min="3347" max="3350" width="0" style="162" hidden="1" customWidth="1"/>
    <col min="3351" max="3351" width="8.42578125" style="162" customWidth="1"/>
    <col min="3352" max="3352" width="9.140625" style="162"/>
    <col min="3353" max="3353" width="5" style="162" customWidth="1"/>
    <col min="3354" max="3354" width="7.28515625" style="162" customWidth="1"/>
    <col min="3355" max="3356" width="0" style="162" hidden="1" customWidth="1"/>
    <col min="3357" max="3357" width="3.42578125" style="162" customWidth="1"/>
    <col min="3358" max="3358" width="13.85546875" style="162" customWidth="1"/>
    <col min="3359" max="3359" width="11.28515625" style="162" customWidth="1"/>
    <col min="3360" max="3360" width="12.5703125" style="162" customWidth="1"/>
    <col min="3361" max="3361" width="15.7109375" style="162" customWidth="1"/>
    <col min="3362" max="3362" width="14.5703125" style="162" customWidth="1"/>
    <col min="3363" max="3363" width="13.85546875" style="162" customWidth="1"/>
    <col min="3364" max="3364" width="12.140625" style="162" customWidth="1"/>
    <col min="3365" max="3584" width="9.140625" style="162"/>
    <col min="3585" max="3585" width="2.7109375" style="162" customWidth="1"/>
    <col min="3586" max="3586" width="16.140625" style="162" customWidth="1"/>
    <col min="3587" max="3587" width="10.28515625" style="162" customWidth="1"/>
    <col min="3588" max="3591" width="11.140625" style="162" customWidth="1"/>
    <col min="3592" max="3592" width="2" style="162" customWidth="1"/>
    <col min="3593" max="3593" width="9.28515625" style="162" bestFit="1" customWidth="1"/>
    <col min="3594" max="3594" width="4.5703125" style="162" customWidth="1"/>
    <col min="3595" max="3595" width="9.28515625" style="162" bestFit="1" customWidth="1"/>
    <col min="3596" max="3596" width="4.5703125" style="162" customWidth="1"/>
    <col min="3597" max="3597" width="12.140625" style="162" bestFit="1" customWidth="1"/>
    <col min="3598" max="3598" width="6.85546875" style="162" customWidth="1"/>
    <col min="3599" max="3599" width="9.7109375" style="162" bestFit="1" customWidth="1"/>
    <col min="3600" max="3600" width="2.85546875" style="162" customWidth="1"/>
    <col min="3601" max="3601" width="2.28515625" style="162" customWidth="1"/>
    <col min="3602" max="3602" width="6.140625" style="162" customWidth="1"/>
    <col min="3603" max="3606" width="0" style="162" hidden="1" customWidth="1"/>
    <col min="3607" max="3607" width="8.42578125" style="162" customWidth="1"/>
    <col min="3608" max="3608" width="9.140625" style="162"/>
    <col min="3609" max="3609" width="5" style="162" customWidth="1"/>
    <col min="3610" max="3610" width="7.28515625" style="162" customWidth="1"/>
    <col min="3611" max="3612" width="0" style="162" hidden="1" customWidth="1"/>
    <col min="3613" max="3613" width="3.42578125" style="162" customWidth="1"/>
    <col min="3614" max="3614" width="13.85546875" style="162" customWidth="1"/>
    <col min="3615" max="3615" width="11.28515625" style="162" customWidth="1"/>
    <col min="3616" max="3616" width="12.5703125" style="162" customWidth="1"/>
    <col min="3617" max="3617" width="15.7109375" style="162" customWidth="1"/>
    <col min="3618" max="3618" width="14.5703125" style="162" customWidth="1"/>
    <col min="3619" max="3619" width="13.85546875" style="162" customWidth="1"/>
    <col min="3620" max="3620" width="12.140625" style="162" customWidth="1"/>
    <col min="3621" max="3840" width="9.140625" style="162"/>
    <col min="3841" max="3841" width="2.7109375" style="162" customWidth="1"/>
    <col min="3842" max="3842" width="16.140625" style="162" customWidth="1"/>
    <col min="3843" max="3843" width="10.28515625" style="162" customWidth="1"/>
    <col min="3844" max="3847" width="11.140625" style="162" customWidth="1"/>
    <col min="3848" max="3848" width="2" style="162" customWidth="1"/>
    <col min="3849" max="3849" width="9.28515625" style="162" bestFit="1" customWidth="1"/>
    <col min="3850" max="3850" width="4.5703125" style="162" customWidth="1"/>
    <col min="3851" max="3851" width="9.28515625" style="162" bestFit="1" customWidth="1"/>
    <col min="3852" max="3852" width="4.5703125" style="162" customWidth="1"/>
    <col min="3853" max="3853" width="12.140625" style="162" bestFit="1" customWidth="1"/>
    <col min="3854" max="3854" width="6.85546875" style="162" customWidth="1"/>
    <col min="3855" max="3855" width="9.7109375" style="162" bestFit="1" customWidth="1"/>
    <col min="3856" max="3856" width="2.85546875" style="162" customWidth="1"/>
    <col min="3857" max="3857" width="2.28515625" style="162" customWidth="1"/>
    <col min="3858" max="3858" width="6.140625" style="162" customWidth="1"/>
    <col min="3859" max="3862" width="0" style="162" hidden="1" customWidth="1"/>
    <col min="3863" max="3863" width="8.42578125" style="162" customWidth="1"/>
    <col min="3864" max="3864" width="9.140625" style="162"/>
    <col min="3865" max="3865" width="5" style="162" customWidth="1"/>
    <col min="3866" max="3866" width="7.28515625" style="162" customWidth="1"/>
    <col min="3867" max="3868" width="0" style="162" hidden="1" customWidth="1"/>
    <col min="3869" max="3869" width="3.42578125" style="162" customWidth="1"/>
    <col min="3870" max="3870" width="13.85546875" style="162" customWidth="1"/>
    <col min="3871" max="3871" width="11.28515625" style="162" customWidth="1"/>
    <col min="3872" max="3872" width="12.5703125" style="162" customWidth="1"/>
    <col min="3873" max="3873" width="15.7109375" style="162" customWidth="1"/>
    <col min="3874" max="3874" width="14.5703125" style="162" customWidth="1"/>
    <col min="3875" max="3875" width="13.85546875" style="162" customWidth="1"/>
    <col min="3876" max="3876" width="12.140625" style="162" customWidth="1"/>
    <col min="3877" max="4096" width="9.140625" style="162"/>
    <col min="4097" max="4097" width="2.7109375" style="162" customWidth="1"/>
    <col min="4098" max="4098" width="16.140625" style="162" customWidth="1"/>
    <col min="4099" max="4099" width="10.28515625" style="162" customWidth="1"/>
    <col min="4100" max="4103" width="11.140625" style="162" customWidth="1"/>
    <col min="4104" max="4104" width="2" style="162" customWidth="1"/>
    <col min="4105" max="4105" width="9.28515625" style="162" bestFit="1" customWidth="1"/>
    <col min="4106" max="4106" width="4.5703125" style="162" customWidth="1"/>
    <col min="4107" max="4107" width="9.28515625" style="162" bestFit="1" customWidth="1"/>
    <col min="4108" max="4108" width="4.5703125" style="162" customWidth="1"/>
    <col min="4109" max="4109" width="12.140625" style="162" bestFit="1" customWidth="1"/>
    <col min="4110" max="4110" width="6.85546875" style="162" customWidth="1"/>
    <col min="4111" max="4111" width="9.7109375" style="162" bestFit="1" customWidth="1"/>
    <col min="4112" max="4112" width="2.85546875" style="162" customWidth="1"/>
    <col min="4113" max="4113" width="2.28515625" style="162" customWidth="1"/>
    <col min="4114" max="4114" width="6.140625" style="162" customWidth="1"/>
    <col min="4115" max="4118" width="0" style="162" hidden="1" customWidth="1"/>
    <col min="4119" max="4119" width="8.42578125" style="162" customWidth="1"/>
    <col min="4120" max="4120" width="9.140625" style="162"/>
    <col min="4121" max="4121" width="5" style="162" customWidth="1"/>
    <col min="4122" max="4122" width="7.28515625" style="162" customWidth="1"/>
    <col min="4123" max="4124" width="0" style="162" hidden="1" customWidth="1"/>
    <col min="4125" max="4125" width="3.42578125" style="162" customWidth="1"/>
    <col min="4126" max="4126" width="13.85546875" style="162" customWidth="1"/>
    <col min="4127" max="4127" width="11.28515625" style="162" customWidth="1"/>
    <col min="4128" max="4128" width="12.5703125" style="162" customWidth="1"/>
    <col min="4129" max="4129" width="15.7109375" style="162" customWidth="1"/>
    <col min="4130" max="4130" width="14.5703125" style="162" customWidth="1"/>
    <col min="4131" max="4131" width="13.85546875" style="162" customWidth="1"/>
    <col min="4132" max="4132" width="12.140625" style="162" customWidth="1"/>
    <col min="4133" max="4352" width="9.140625" style="162"/>
    <col min="4353" max="4353" width="2.7109375" style="162" customWidth="1"/>
    <col min="4354" max="4354" width="16.140625" style="162" customWidth="1"/>
    <col min="4355" max="4355" width="10.28515625" style="162" customWidth="1"/>
    <col min="4356" max="4359" width="11.140625" style="162" customWidth="1"/>
    <col min="4360" max="4360" width="2" style="162" customWidth="1"/>
    <col min="4361" max="4361" width="9.28515625" style="162" bestFit="1" customWidth="1"/>
    <col min="4362" max="4362" width="4.5703125" style="162" customWidth="1"/>
    <col min="4363" max="4363" width="9.28515625" style="162" bestFit="1" customWidth="1"/>
    <col min="4364" max="4364" width="4.5703125" style="162" customWidth="1"/>
    <col min="4365" max="4365" width="12.140625" style="162" bestFit="1" customWidth="1"/>
    <col min="4366" max="4366" width="6.85546875" style="162" customWidth="1"/>
    <col min="4367" max="4367" width="9.7109375" style="162" bestFit="1" customWidth="1"/>
    <col min="4368" max="4368" width="2.85546875" style="162" customWidth="1"/>
    <col min="4369" max="4369" width="2.28515625" style="162" customWidth="1"/>
    <col min="4370" max="4370" width="6.140625" style="162" customWidth="1"/>
    <col min="4371" max="4374" width="0" style="162" hidden="1" customWidth="1"/>
    <col min="4375" max="4375" width="8.42578125" style="162" customWidth="1"/>
    <col min="4376" max="4376" width="9.140625" style="162"/>
    <col min="4377" max="4377" width="5" style="162" customWidth="1"/>
    <col min="4378" max="4378" width="7.28515625" style="162" customWidth="1"/>
    <col min="4379" max="4380" width="0" style="162" hidden="1" customWidth="1"/>
    <col min="4381" max="4381" width="3.42578125" style="162" customWidth="1"/>
    <col min="4382" max="4382" width="13.85546875" style="162" customWidth="1"/>
    <col min="4383" max="4383" width="11.28515625" style="162" customWidth="1"/>
    <col min="4384" max="4384" width="12.5703125" style="162" customWidth="1"/>
    <col min="4385" max="4385" width="15.7109375" style="162" customWidth="1"/>
    <col min="4386" max="4386" width="14.5703125" style="162" customWidth="1"/>
    <col min="4387" max="4387" width="13.85546875" style="162" customWidth="1"/>
    <col min="4388" max="4388" width="12.140625" style="162" customWidth="1"/>
    <col min="4389" max="4608" width="9.140625" style="162"/>
    <col min="4609" max="4609" width="2.7109375" style="162" customWidth="1"/>
    <col min="4610" max="4610" width="16.140625" style="162" customWidth="1"/>
    <col min="4611" max="4611" width="10.28515625" style="162" customWidth="1"/>
    <col min="4612" max="4615" width="11.140625" style="162" customWidth="1"/>
    <col min="4616" max="4616" width="2" style="162" customWidth="1"/>
    <col min="4617" max="4617" width="9.28515625" style="162" bestFit="1" customWidth="1"/>
    <col min="4618" max="4618" width="4.5703125" style="162" customWidth="1"/>
    <col min="4619" max="4619" width="9.28515625" style="162" bestFit="1" customWidth="1"/>
    <col min="4620" max="4620" width="4.5703125" style="162" customWidth="1"/>
    <col min="4621" max="4621" width="12.140625" style="162" bestFit="1" customWidth="1"/>
    <col min="4622" max="4622" width="6.85546875" style="162" customWidth="1"/>
    <col min="4623" max="4623" width="9.7109375" style="162" bestFit="1" customWidth="1"/>
    <col min="4624" max="4624" width="2.85546875" style="162" customWidth="1"/>
    <col min="4625" max="4625" width="2.28515625" style="162" customWidth="1"/>
    <col min="4626" max="4626" width="6.140625" style="162" customWidth="1"/>
    <col min="4627" max="4630" width="0" style="162" hidden="1" customWidth="1"/>
    <col min="4631" max="4631" width="8.42578125" style="162" customWidth="1"/>
    <col min="4632" max="4632" width="9.140625" style="162"/>
    <col min="4633" max="4633" width="5" style="162" customWidth="1"/>
    <col min="4634" max="4634" width="7.28515625" style="162" customWidth="1"/>
    <col min="4635" max="4636" width="0" style="162" hidden="1" customWidth="1"/>
    <col min="4637" max="4637" width="3.42578125" style="162" customWidth="1"/>
    <col min="4638" max="4638" width="13.85546875" style="162" customWidth="1"/>
    <col min="4639" max="4639" width="11.28515625" style="162" customWidth="1"/>
    <col min="4640" max="4640" width="12.5703125" style="162" customWidth="1"/>
    <col min="4641" max="4641" width="15.7109375" style="162" customWidth="1"/>
    <col min="4642" max="4642" width="14.5703125" style="162" customWidth="1"/>
    <col min="4643" max="4643" width="13.85546875" style="162" customWidth="1"/>
    <col min="4644" max="4644" width="12.140625" style="162" customWidth="1"/>
    <col min="4645" max="4864" width="9.140625" style="162"/>
    <col min="4865" max="4865" width="2.7109375" style="162" customWidth="1"/>
    <col min="4866" max="4866" width="16.140625" style="162" customWidth="1"/>
    <col min="4867" max="4867" width="10.28515625" style="162" customWidth="1"/>
    <col min="4868" max="4871" width="11.140625" style="162" customWidth="1"/>
    <col min="4872" max="4872" width="2" style="162" customWidth="1"/>
    <col min="4873" max="4873" width="9.28515625" style="162" bestFit="1" customWidth="1"/>
    <col min="4874" max="4874" width="4.5703125" style="162" customWidth="1"/>
    <col min="4875" max="4875" width="9.28515625" style="162" bestFit="1" customWidth="1"/>
    <col min="4876" max="4876" width="4.5703125" style="162" customWidth="1"/>
    <col min="4877" max="4877" width="12.140625" style="162" bestFit="1" customWidth="1"/>
    <col min="4878" max="4878" width="6.85546875" style="162" customWidth="1"/>
    <col min="4879" max="4879" width="9.7109375" style="162" bestFit="1" customWidth="1"/>
    <col min="4880" max="4880" width="2.85546875" style="162" customWidth="1"/>
    <col min="4881" max="4881" width="2.28515625" style="162" customWidth="1"/>
    <col min="4882" max="4882" width="6.140625" style="162" customWidth="1"/>
    <col min="4883" max="4886" width="0" style="162" hidden="1" customWidth="1"/>
    <col min="4887" max="4887" width="8.42578125" style="162" customWidth="1"/>
    <col min="4888" max="4888" width="9.140625" style="162"/>
    <col min="4889" max="4889" width="5" style="162" customWidth="1"/>
    <col min="4890" max="4890" width="7.28515625" style="162" customWidth="1"/>
    <col min="4891" max="4892" width="0" style="162" hidden="1" customWidth="1"/>
    <col min="4893" max="4893" width="3.42578125" style="162" customWidth="1"/>
    <col min="4894" max="4894" width="13.85546875" style="162" customWidth="1"/>
    <col min="4895" max="4895" width="11.28515625" style="162" customWidth="1"/>
    <col min="4896" max="4896" width="12.5703125" style="162" customWidth="1"/>
    <col min="4897" max="4897" width="15.7109375" style="162" customWidth="1"/>
    <col min="4898" max="4898" width="14.5703125" style="162" customWidth="1"/>
    <col min="4899" max="4899" width="13.85546875" style="162" customWidth="1"/>
    <col min="4900" max="4900" width="12.140625" style="162" customWidth="1"/>
    <col min="4901" max="5120" width="9.140625" style="162"/>
    <col min="5121" max="5121" width="2.7109375" style="162" customWidth="1"/>
    <col min="5122" max="5122" width="16.140625" style="162" customWidth="1"/>
    <col min="5123" max="5123" width="10.28515625" style="162" customWidth="1"/>
    <col min="5124" max="5127" width="11.140625" style="162" customWidth="1"/>
    <col min="5128" max="5128" width="2" style="162" customWidth="1"/>
    <col min="5129" max="5129" width="9.28515625" style="162" bestFit="1" customWidth="1"/>
    <col min="5130" max="5130" width="4.5703125" style="162" customWidth="1"/>
    <col min="5131" max="5131" width="9.28515625" style="162" bestFit="1" customWidth="1"/>
    <col min="5132" max="5132" width="4.5703125" style="162" customWidth="1"/>
    <col min="5133" max="5133" width="12.140625" style="162" bestFit="1" customWidth="1"/>
    <col min="5134" max="5134" width="6.85546875" style="162" customWidth="1"/>
    <col min="5135" max="5135" width="9.7109375" style="162" bestFit="1" customWidth="1"/>
    <col min="5136" max="5136" width="2.85546875" style="162" customWidth="1"/>
    <col min="5137" max="5137" width="2.28515625" style="162" customWidth="1"/>
    <col min="5138" max="5138" width="6.140625" style="162" customWidth="1"/>
    <col min="5139" max="5142" width="0" style="162" hidden="1" customWidth="1"/>
    <col min="5143" max="5143" width="8.42578125" style="162" customWidth="1"/>
    <col min="5144" max="5144" width="9.140625" style="162"/>
    <col min="5145" max="5145" width="5" style="162" customWidth="1"/>
    <col min="5146" max="5146" width="7.28515625" style="162" customWidth="1"/>
    <col min="5147" max="5148" width="0" style="162" hidden="1" customWidth="1"/>
    <col min="5149" max="5149" width="3.42578125" style="162" customWidth="1"/>
    <col min="5150" max="5150" width="13.85546875" style="162" customWidth="1"/>
    <col min="5151" max="5151" width="11.28515625" style="162" customWidth="1"/>
    <col min="5152" max="5152" width="12.5703125" style="162" customWidth="1"/>
    <col min="5153" max="5153" width="15.7109375" style="162" customWidth="1"/>
    <col min="5154" max="5154" width="14.5703125" style="162" customWidth="1"/>
    <col min="5155" max="5155" width="13.85546875" style="162" customWidth="1"/>
    <col min="5156" max="5156" width="12.140625" style="162" customWidth="1"/>
    <col min="5157" max="5376" width="9.140625" style="162"/>
    <col min="5377" max="5377" width="2.7109375" style="162" customWidth="1"/>
    <col min="5378" max="5378" width="16.140625" style="162" customWidth="1"/>
    <col min="5379" max="5379" width="10.28515625" style="162" customWidth="1"/>
    <col min="5380" max="5383" width="11.140625" style="162" customWidth="1"/>
    <col min="5384" max="5384" width="2" style="162" customWidth="1"/>
    <col min="5385" max="5385" width="9.28515625" style="162" bestFit="1" customWidth="1"/>
    <col min="5386" max="5386" width="4.5703125" style="162" customWidth="1"/>
    <col min="5387" max="5387" width="9.28515625" style="162" bestFit="1" customWidth="1"/>
    <col min="5388" max="5388" width="4.5703125" style="162" customWidth="1"/>
    <col min="5389" max="5389" width="12.140625" style="162" bestFit="1" customWidth="1"/>
    <col min="5390" max="5390" width="6.85546875" style="162" customWidth="1"/>
    <col min="5391" max="5391" width="9.7109375" style="162" bestFit="1" customWidth="1"/>
    <col min="5392" max="5392" width="2.85546875" style="162" customWidth="1"/>
    <col min="5393" max="5393" width="2.28515625" style="162" customWidth="1"/>
    <col min="5394" max="5394" width="6.140625" style="162" customWidth="1"/>
    <col min="5395" max="5398" width="0" style="162" hidden="1" customWidth="1"/>
    <col min="5399" max="5399" width="8.42578125" style="162" customWidth="1"/>
    <col min="5400" max="5400" width="9.140625" style="162"/>
    <col min="5401" max="5401" width="5" style="162" customWidth="1"/>
    <col min="5402" max="5402" width="7.28515625" style="162" customWidth="1"/>
    <col min="5403" max="5404" width="0" style="162" hidden="1" customWidth="1"/>
    <col min="5405" max="5405" width="3.42578125" style="162" customWidth="1"/>
    <col min="5406" max="5406" width="13.85546875" style="162" customWidth="1"/>
    <col min="5407" max="5407" width="11.28515625" style="162" customWidth="1"/>
    <col min="5408" max="5408" width="12.5703125" style="162" customWidth="1"/>
    <col min="5409" max="5409" width="15.7109375" style="162" customWidth="1"/>
    <col min="5410" max="5410" width="14.5703125" style="162" customWidth="1"/>
    <col min="5411" max="5411" width="13.85546875" style="162" customWidth="1"/>
    <col min="5412" max="5412" width="12.140625" style="162" customWidth="1"/>
    <col min="5413" max="5632" width="9.140625" style="162"/>
    <col min="5633" max="5633" width="2.7109375" style="162" customWidth="1"/>
    <col min="5634" max="5634" width="16.140625" style="162" customWidth="1"/>
    <col min="5635" max="5635" width="10.28515625" style="162" customWidth="1"/>
    <col min="5636" max="5639" width="11.140625" style="162" customWidth="1"/>
    <col min="5640" max="5640" width="2" style="162" customWidth="1"/>
    <col min="5641" max="5641" width="9.28515625" style="162" bestFit="1" customWidth="1"/>
    <col min="5642" max="5642" width="4.5703125" style="162" customWidth="1"/>
    <col min="5643" max="5643" width="9.28515625" style="162" bestFit="1" customWidth="1"/>
    <col min="5644" max="5644" width="4.5703125" style="162" customWidth="1"/>
    <col min="5645" max="5645" width="12.140625" style="162" bestFit="1" customWidth="1"/>
    <col min="5646" max="5646" width="6.85546875" style="162" customWidth="1"/>
    <col min="5647" max="5647" width="9.7109375" style="162" bestFit="1" customWidth="1"/>
    <col min="5648" max="5648" width="2.85546875" style="162" customWidth="1"/>
    <col min="5649" max="5649" width="2.28515625" style="162" customWidth="1"/>
    <col min="5650" max="5650" width="6.140625" style="162" customWidth="1"/>
    <col min="5651" max="5654" width="0" style="162" hidden="1" customWidth="1"/>
    <col min="5655" max="5655" width="8.42578125" style="162" customWidth="1"/>
    <col min="5656" max="5656" width="9.140625" style="162"/>
    <col min="5657" max="5657" width="5" style="162" customWidth="1"/>
    <col min="5658" max="5658" width="7.28515625" style="162" customWidth="1"/>
    <col min="5659" max="5660" width="0" style="162" hidden="1" customWidth="1"/>
    <col min="5661" max="5661" width="3.42578125" style="162" customWidth="1"/>
    <col min="5662" max="5662" width="13.85546875" style="162" customWidth="1"/>
    <col min="5663" max="5663" width="11.28515625" style="162" customWidth="1"/>
    <col min="5664" max="5664" width="12.5703125" style="162" customWidth="1"/>
    <col min="5665" max="5665" width="15.7109375" style="162" customWidth="1"/>
    <col min="5666" max="5666" width="14.5703125" style="162" customWidth="1"/>
    <col min="5667" max="5667" width="13.85546875" style="162" customWidth="1"/>
    <col min="5668" max="5668" width="12.140625" style="162" customWidth="1"/>
    <col min="5669" max="5888" width="9.140625" style="162"/>
    <col min="5889" max="5889" width="2.7109375" style="162" customWidth="1"/>
    <col min="5890" max="5890" width="16.140625" style="162" customWidth="1"/>
    <col min="5891" max="5891" width="10.28515625" style="162" customWidth="1"/>
    <col min="5892" max="5895" width="11.140625" style="162" customWidth="1"/>
    <col min="5896" max="5896" width="2" style="162" customWidth="1"/>
    <col min="5897" max="5897" width="9.28515625" style="162" bestFit="1" customWidth="1"/>
    <col min="5898" max="5898" width="4.5703125" style="162" customWidth="1"/>
    <col min="5899" max="5899" width="9.28515625" style="162" bestFit="1" customWidth="1"/>
    <col min="5900" max="5900" width="4.5703125" style="162" customWidth="1"/>
    <col min="5901" max="5901" width="12.140625" style="162" bestFit="1" customWidth="1"/>
    <col min="5902" max="5902" width="6.85546875" style="162" customWidth="1"/>
    <col min="5903" max="5903" width="9.7109375" style="162" bestFit="1" customWidth="1"/>
    <col min="5904" max="5904" width="2.85546875" style="162" customWidth="1"/>
    <col min="5905" max="5905" width="2.28515625" style="162" customWidth="1"/>
    <col min="5906" max="5906" width="6.140625" style="162" customWidth="1"/>
    <col min="5907" max="5910" width="0" style="162" hidden="1" customWidth="1"/>
    <col min="5911" max="5911" width="8.42578125" style="162" customWidth="1"/>
    <col min="5912" max="5912" width="9.140625" style="162"/>
    <col min="5913" max="5913" width="5" style="162" customWidth="1"/>
    <col min="5914" max="5914" width="7.28515625" style="162" customWidth="1"/>
    <col min="5915" max="5916" width="0" style="162" hidden="1" customWidth="1"/>
    <col min="5917" max="5917" width="3.42578125" style="162" customWidth="1"/>
    <col min="5918" max="5918" width="13.85546875" style="162" customWidth="1"/>
    <col min="5919" max="5919" width="11.28515625" style="162" customWidth="1"/>
    <col min="5920" max="5920" width="12.5703125" style="162" customWidth="1"/>
    <col min="5921" max="5921" width="15.7109375" style="162" customWidth="1"/>
    <col min="5922" max="5922" width="14.5703125" style="162" customWidth="1"/>
    <col min="5923" max="5923" width="13.85546875" style="162" customWidth="1"/>
    <col min="5924" max="5924" width="12.140625" style="162" customWidth="1"/>
    <col min="5925" max="6144" width="9.140625" style="162"/>
    <col min="6145" max="6145" width="2.7109375" style="162" customWidth="1"/>
    <col min="6146" max="6146" width="16.140625" style="162" customWidth="1"/>
    <col min="6147" max="6147" width="10.28515625" style="162" customWidth="1"/>
    <col min="6148" max="6151" width="11.140625" style="162" customWidth="1"/>
    <col min="6152" max="6152" width="2" style="162" customWidth="1"/>
    <col min="6153" max="6153" width="9.28515625" style="162" bestFit="1" customWidth="1"/>
    <col min="6154" max="6154" width="4.5703125" style="162" customWidth="1"/>
    <col min="6155" max="6155" width="9.28515625" style="162" bestFit="1" customWidth="1"/>
    <col min="6156" max="6156" width="4.5703125" style="162" customWidth="1"/>
    <col min="6157" max="6157" width="12.140625" style="162" bestFit="1" customWidth="1"/>
    <col min="6158" max="6158" width="6.85546875" style="162" customWidth="1"/>
    <col min="6159" max="6159" width="9.7109375" style="162" bestFit="1" customWidth="1"/>
    <col min="6160" max="6160" width="2.85546875" style="162" customWidth="1"/>
    <col min="6161" max="6161" width="2.28515625" style="162" customWidth="1"/>
    <col min="6162" max="6162" width="6.140625" style="162" customWidth="1"/>
    <col min="6163" max="6166" width="0" style="162" hidden="1" customWidth="1"/>
    <col min="6167" max="6167" width="8.42578125" style="162" customWidth="1"/>
    <col min="6168" max="6168" width="9.140625" style="162"/>
    <col min="6169" max="6169" width="5" style="162" customWidth="1"/>
    <col min="6170" max="6170" width="7.28515625" style="162" customWidth="1"/>
    <col min="6171" max="6172" width="0" style="162" hidden="1" customWidth="1"/>
    <col min="6173" max="6173" width="3.42578125" style="162" customWidth="1"/>
    <col min="6174" max="6174" width="13.85546875" style="162" customWidth="1"/>
    <col min="6175" max="6175" width="11.28515625" style="162" customWidth="1"/>
    <col min="6176" max="6176" width="12.5703125" style="162" customWidth="1"/>
    <col min="6177" max="6177" width="15.7109375" style="162" customWidth="1"/>
    <col min="6178" max="6178" width="14.5703125" style="162" customWidth="1"/>
    <col min="6179" max="6179" width="13.85546875" style="162" customWidth="1"/>
    <col min="6180" max="6180" width="12.140625" style="162" customWidth="1"/>
    <col min="6181" max="6400" width="9.140625" style="162"/>
    <col min="6401" max="6401" width="2.7109375" style="162" customWidth="1"/>
    <col min="6402" max="6402" width="16.140625" style="162" customWidth="1"/>
    <col min="6403" max="6403" width="10.28515625" style="162" customWidth="1"/>
    <col min="6404" max="6407" width="11.140625" style="162" customWidth="1"/>
    <col min="6408" max="6408" width="2" style="162" customWidth="1"/>
    <col min="6409" max="6409" width="9.28515625" style="162" bestFit="1" customWidth="1"/>
    <col min="6410" max="6410" width="4.5703125" style="162" customWidth="1"/>
    <col min="6411" max="6411" width="9.28515625" style="162" bestFit="1" customWidth="1"/>
    <col min="6412" max="6412" width="4.5703125" style="162" customWidth="1"/>
    <col min="6413" max="6413" width="12.140625" style="162" bestFit="1" customWidth="1"/>
    <col min="6414" max="6414" width="6.85546875" style="162" customWidth="1"/>
    <col min="6415" max="6415" width="9.7109375" style="162" bestFit="1" customWidth="1"/>
    <col min="6416" max="6416" width="2.85546875" style="162" customWidth="1"/>
    <col min="6417" max="6417" width="2.28515625" style="162" customWidth="1"/>
    <col min="6418" max="6418" width="6.140625" style="162" customWidth="1"/>
    <col min="6419" max="6422" width="0" style="162" hidden="1" customWidth="1"/>
    <col min="6423" max="6423" width="8.42578125" style="162" customWidth="1"/>
    <col min="6424" max="6424" width="9.140625" style="162"/>
    <col min="6425" max="6425" width="5" style="162" customWidth="1"/>
    <col min="6426" max="6426" width="7.28515625" style="162" customWidth="1"/>
    <col min="6427" max="6428" width="0" style="162" hidden="1" customWidth="1"/>
    <col min="6429" max="6429" width="3.42578125" style="162" customWidth="1"/>
    <col min="6430" max="6430" width="13.85546875" style="162" customWidth="1"/>
    <col min="6431" max="6431" width="11.28515625" style="162" customWidth="1"/>
    <col min="6432" max="6432" width="12.5703125" style="162" customWidth="1"/>
    <col min="6433" max="6433" width="15.7109375" style="162" customWidth="1"/>
    <col min="6434" max="6434" width="14.5703125" style="162" customWidth="1"/>
    <col min="6435" max="6435" width="13.85546875" style="162" customWidth="1"/>
    <col min="6436" max="6436" width="12.140625" style="162" customWidth="1"/>
    <col min="6437" max="6656" width="9.140625" style="162"/>
    <col min="6657" max="6657" width="2.7109375" style="162" customWidth="1"/>
    <col min="6658" max="6658" width="16.140625" style="162" customWidth="1"/>
    <col min="6659" max="6659" width="10.28515625" style="162" customWidth="1"/>
    <col min="6660" max="6663" width="11.140625" style="162" customWidth="1"/>
    <col min="6664" max="6664" width="2" style="162" customWidth="1"/>
    <col min="6665" max="6665" width="9.28515625" style="162" bestFit="1" customWidth="1"/>
    <col min="6666" max="6666" width="4.5703125" style="162" customWidth="1"/>
    <col min="6667" max="6667" width="9.28515625" style="162" bestFit="1" customWidth="1"/>
    <col min="6668" max="6668" width="4.5703125" style="162" customWidth="1"/>
    <col min="6669" max="6669" width="12.140625" style="162" bestFit="1" customWidth="1"/>
    <col min="6670" max="6670" width="6.85546875" style="162" customWidth="1"/>
    <col min="6671" max="6671" width="9.7109375" style="162" bestFit="1" customWidth="1"/>
    <col min="6672" max="6672" width="2.85546875" style="162" customWidth="1"/>
    <col min="6673" max="6673" width="2.28515625" style="162" customWidth="1"/>
    <col min="6674" max="6674" width="6.140625" style="162" customWidth="1"/>
    <col min="6675" max="6678" width="0" style="162" hidden="1" customWidth="1"/>
    <col min="6679" max="6679" width="8.42578125" style="162" customWidth="1"/>
    <col min="6680" max="6680" width="9.140625" style="162"/>
    <col min="6681" max="6681" width="5" style="162" customWidth="1"/>
    <col min="6682" max="6682" width="7.28515625" style="162" customWidth="1"/>
    <col min="6683" max="6684" width="0" style="162" hidden="1" customWidth="1"/>
    <col min="6685" max="6685" width="3.42578125" style="162" customWidth="1"/>
    <col min="6686" max="6686" width="13.85546875" style="162" customWidth="1"/>
    <col min="6687" max="6687" width="11.28515625" style="162" customWidth="1"/>
    <col min="6688" max="6688" width="12.5703125" style="162" customWidth="1"/>
    <col min="6689" max="6689" width="15.7109375" style="162" customWidth="1"/>
    <col min="6690" max="6690" width="14.5703125" style="162" customWidth="1"/>
    <col min="6691" max="6691" width="13.85546875" style="162" customWidth="1"/>
    <col min="6692" max="6692" width="12.140625" style="162" customWidth="1"/>
    <col min="6693" max="6912" width="9.140625" style="162"/>
    <col min="6913" max="6913" width="2.7109375" style="162" customWidth="1"/>
    <col min="6914" max="6914" width="16.140625" style="162" customWidth="1"/>
    <col min="6915" max="6915" width="10.28515625" style="162" customWidth="1"/>
    <col min="6916" max="6919" width="11.140625" style="162" customWidth="1"/>
    <col min="6920" max="6920" width="2" style="162" customWidth="1"/>
    <col min="6921" max="6921" width="9.28515625" style="162" bestFit="1" customWidth="1"/>
    <col min="6922" max="6922" width="4.5703125" style="162" customWidth="1"/>
    <col min="6923" max="6923" width="9.28515625" style="162" bestFit="1" customWidth="1"/>
    <col min="6924" max="6924" width="4.5703125" style="162" customWidth="1"/>
    <col min="6925" max="6925" width="12.140625" style="162" bestFit="1" customWidth="1"/>
    <col min="6926" max="6926" width="6.85546875" style="162" customWidth="1"/>
    <col min="6927" max="6927" width="9.7109375" style="162" bestFit="1" customWidth="1"/>
    <col min="6928" max="6928" width="2.85546875" style="162" customWidth="1"/>
    <col min="6929" max="6929" width="2.28515625" style="162" customWidth="1"/>
    <col min="6930" max="6930" width="6.140625" style="162" customWidth="1"/>
    <col min="6931" max="6934" width="0" style="162" hidden="1" customWidth="1"/>
    <col min="6935" max="6935" width="8.42578125" style="162" customWidth="1"/>
    <col min="6936" max="6936" width="9.140625" style="162"/>
    <col min="6937" max="6937" width="5" style="162" customWidth="1"/>
    <col min="6938" max="6938" width="7.28515625" style="162" customWidth="1"/>
    <col min="6939" max="6940" width="0" style="162" hidden="1" customWidth="1"/>
    <col min="6941" max="6941" width="3.42578125" style="162" customWidth="1"/>
    <col min="6942" max="6942" width="13.85546875" style="162" customWidth="1"/>
    <col min="6943" max="6943" width="11.28515625" style="162" customWidth="1"/>
    <col min="6944" max="6944" width="12.5703125" style="162" customWidth="1"/>
    <col min="6945" max="6945" width="15.7109375" style="162" customWidth="1"/>
    <col min="6946" max="6946" width="14.5703125" style="162" customWidth="1"/>
    <col min="6947" max="6947" width="13.85546875" style="162" customWidth="1"/>
    <col min="6948" max="6948" width="12.140625" style="162" customWidth="1"/>
    <col min="6949" max="7168" width="9.140625" style="162"/>
    <col min="7169" max="7169" width="2.7109375" style="162" customWidth="1"/>
    <col min="7170" max="7170" width="16.140625" style="162" customWidth="1"/>
    <col min="7171" max="7171" width="10.28515625" style="162" customWidth="1"/>
    <col min="7172" max="7175" width="11.140625" style="162" customWidth="1"/>
    <col min="7176" max="7176" width="2" style="162" customWidth="1"/>
    <col min="7177" max="7177" width="9.28515625" style="162" bestFit="1" customWidth="1"/>
    <col min="7178" max="7178" width="4.5703125" style="162" customWidth="1"/>
    <col min="7179" max="7179" width="9.28515625" style="162" bestFit="1" customWidth="1"/>
    <col min="7180" max="7180" width="4.5703125" style="162" customWidth="1"/>
    <col min="7181" max="7181" width="12.140625" style="162" bestFit="1" customWidth="1"/>
    <col min="7182" max="7182" width="6.85546875" style="162" customWidth="1"/>
    <col min="7183" max="7183" width="9.7109375" style="162" bestFit="1" customWidth="1"/>
    <col min="7184" max="7184" width="2.85546875" style="162" customWidth="1"/>
    <col min="7185" max="7185" width="2.28515625" style="162" customWidth="1"/>
    <col min="7186" max="7186" width="6.140625" style="162" customWidth="1"/>
    <col min="7187" max="7190" width="0" style="162" hidden="1" customWidth="1"/>
    <col min="7191" max="7191" width="8.42578125" style="162" customWidth="1"/>
    <col min="7192" max="7192" width="9.140625" style="162"/>
    <col min="7193" max="7193" width="5" style="162" customWidth="1"/>
    <col min="7194" max="7194" width="7.28515625" style="162" customWidth="1"/>
    <col min="7195" max="7196" width="0" style="162" hidden="1" customWidth="1"/>
    <col min="7197" max="7197" width="3.42578125" style="162" customWidth="1"/>
    <col min="7198" max="7198" width="13.85546875" style="162" customWidth="1"/>
    <col min="7199" max="7199" width="11.28515625" style="162" customWidth="1"/>
    <col min="7200" max="7200" width="12.5703125" style="162" customWidth="1"/>
    <col min="7201" max="7201" width="15.7109375" style="162" customWidth="1"/>
    <col min="7202" max="7202" width="14.5703125" style="162" customWidth="1"/>
    <col min="7203" max="7203" width="13.85546875" style="162" customWidth="1"/>
    <col min="7204" max="7204" width="12.140625" style="162" customWidth="1"/>
    <col min="7205" max="7424" width="9.140625" style="162"/>
    <col min="7425" max="7425" width="2.7109375" style="162" customWidth="1"/>
    <col min="7426" max="7426" width="16.140625" style="162" customWidth="1"/>
    <col min="7427" max="7427" width="10.28515625" style="162" customWidth="1"/>
    <col min="7428" max="7431" width="11.140625" style="162" customWidth="1"/>
    <col min="7432" max="7432" width="2" style="162" customWidth="1"/>
    <col min="7433" max="7433" width="9.28515625" style="162" bestFit="1" customWidth="1"/>
    <col min="7434" max="7434" width="4.5703125" style="162" customWidth="1"/>
    <col min="7435" max="7435" width="9.28515625" style="162" bestFit="1" customWidth="1"/>
    <col min="7436" max="7436" width="4.5703125" style="162" customWidth="1"/>
    <col min="7437" max="7437" width="12.140625" style="162" bestFit="1" customWidth="1"/>
    <col min="7438" max="7438" width="6.85546875" style="162" customWidth="1"/>
    <col min="7439" max="7439" width="9.7109375" style="162" bestFit="1" customWidth="1"/>
    <col min="7440" max="7440" width="2.85546875" style="162" customWidth="1"/>
    <col min="7441" max="7441" width="2.28515625" style="162" customWidth="1"/>
    <col min="7442" max="7442" width="6.140625" style="162" customWidth="1"/>
    <col min="7443" max="7446" width="0" style="162" hidden="1" customWidth="1"/>
    <col min="7447" max="7447" width="8.42578125" style="162" customWidth="1"/>
    <col min="7448" max="7448" width="9.140625" style="162"/>
    <col min="7449" max="7449" width="5" style="162" customWidth="1"/>
    <col min="7450" max="7450" width="7.28515625" style="162" customWidth="1"/>
    <col min="7451" max="7452" width="0" style="162" hidden="1" customWidth="1"/>
    <col min="7453" max="7453" width="3.42578125" style="162" customWidth="1"/>
    <col min="7454" max="7454" width="13.85546875" style="162" customWidth="1"/>
    <col min="7455" max="7455" width="11.28515625" style="162" customWidth="1"/>
    <col min="7456" max="7456" width="12.5703125" style="162" customWidth="1"/>
    <col min="7457" max="7457" width="15.7109375" style="162" customWidth="1"/>
    <col min="7458" max="7458" width="14.5703125" style="162" customWidth="1"/>
    <col min="7459" max="7459" width="13.85546875" style="162" customWidth="1"/>
    <col min="7460" max="7460" width="12.140625" style="162" customWidth="1"/>
    <col min="7461" max="7680" width="9.140625" style="162"/>
    <col min="7681" max="7681" width="2.7109375" style="162" customWidth="1"/>
    <col min="7682" max="7682" width="16.140625" style="162" customWidth="1"/>
    <col min="7683" max="7683" width="10.28515625" style="162" customWidth="1"/>
    <col min="7684" max="7687" width="11.140625" style="162" customWidth="1"/>
    <col min="7688" max="7688" width="2" style="162" customWidth="1"/>
    <col min="7689" max="7689" width="9.28515625" style="162" bestFit="1" customWidth="1"/>
    <col min="7690" max="7690" width="4.5703125" style="162" customWidth="1"/>
    <col min="7691" max="7691" width="9.28515625" style="162" bestFit="1" customWidth="1"/>
    <col min="7692" max="7692" width="4.5703125" style="162" customWidth="1"/>
    <col min="7693" max="7693" width="12.140625" style="162" bestFit="1" customWidth="1"/>
    <col min="7694" max="7694" width="6.85546875" style="162" customWidth="1"/>
    <col min="7695" max="7695" width="9.7109375" style="162" bestFit="1" customWidth="1"/>
    <col min="7696" max="7696" width="2.85546875" style="162" customWidth="1"/>
    <col min="7697" max="7697" width="2.28515625" style="162" customWidth="1"/>
    <col min="7698" max="7698" width="6.140625" style="162" customWidth="1"/>
    <col min="7699" max="7702" width="0" style="162" hidden="1" customWidth="1"/>
    <col min="7703" max="7703" width="8.42578125" style="162" customWidth="1"/>
    <col min="7704" max="7704" width="9.140625" style="162"/>
    <col min="7705" max="7705" width="5" style="162" customWidth="1"/>
    <col min="7706" max="7706" width="7.28515625" style="162" customWidth="1"/>
    <col min="7707" max="7708" width="0" style="162" hidden="1" customWidth="1"/>
    <col min="7709" max="7709" width="3.42578125" style="162" customWidth="1"/>
    <col min="7710" max="7710" width="13.85546875" style="162" customWidth="1"/>
    <col min="7711" max="7711" width="11.28515625" style="162" customWidth="1"/>
    <col min="7712" max="7712" width="12.5703125" style="162" customWidth="1"/>
    <col min="7713" max="7713" width="15.7109375" style="162" customWidth="1"/>
    <col min="7714" max="7714" width="14.5703125" style="162" customWidth="1"/>
    <col min="7715" max="7715" width="13.85546875" style="162" customWidth="1"/>
    <col min="7716" max="7716" width="12.140625" style="162" customWidth="1"/>
    <col min="7717" max="7936" width="9.140625" style="162"/>
    <col min="7937" max="7937" width="2.7109375" style="162" customWidth="1"/>
    <col min="7938" max="7938" width="16.140625" style="162" customWidth="1"/>
    <col min="7939" max="7939" width="10.28515625" style="162" customWidth="1"/>
    <col min="7940" max="7943" width="11.140625" style="162" customWidth="1"/>
    <col min="7944" max="7944" width="2" style="162" customWidth="1"/>
    <col min="7945" max="7945" width="9.28515625" style="162" bestFit="1" customWidth="1"/>
    <col min="7946" max="7946" width="4.5703125" style="162" customWidth="1"/>
    <col min="7947" max="7947" width="9.28515625" style="162" bestFit="1" customWidth="1"/>
    <col min="7948" max="7948" width="4.5703125" style="162" customWidth="1"/>
    <col min="7949" max="7949" width="12.140625" style="162" bestFit="1" customWidth="1"/>
    <col min="7950" max="7950" width="6.85546875" style="162" customWidth="1"/>
    <col min="7951" max="7951" width="9.7109375" style="162" bestFit="1" customWidth="1"/>
    <col min="7952" max="7952" width="2.85546875" style="162" customWidth="1"/>
    <col min="7953" max="7953" width="2.28515625" style="162" customWidth="1"/>
    <col min="7954" max="7954" width="6.140625" style="162" customWidth="1"/>
    <col min="7955" max="7958" width="0" style="162" hidden="1" customWidth="1"/>
    <col min="7959" max="7959" width="8.42578125" style="162" customWidth="1"/>
    <col min="7960" max="7960" width="9.140625" style="162"/>
    <col min="7961" max="7961" width="5" style="162" customWidth="1"/>
    <col min="7962" max="7962" width="7.28515625" style="162" customWidth="1"/>
    <col min="7963" max="7964" width="0" style="162" hidden="1" customWidth="1"/>
    <col min="7965" max="7965" width="3.42578125" style="162" customWidth="1"/>
    <col min="7966" max="7966" width="13.85546875" style="162" customWidth="1"/>
    <col min="7967" max="7967" width="11.28515625" style="162" customWidth="1"/>
    <col min="7968" max="7968" width="12.5703125" style="162" customWidth="1"/>
    <col min="7969" max="7969" width="15.7109375" style="162" customWidth="1"/>
    <col min="7970" max="7970" width="14.5703125" style="162" customWidth="1"/>
    <col min="7971" max="7971" width="13.85546875" style="162" customWidth="1"/>
    <col min="7972" max="7972" width="12.140625" style="162" customWidth="1"/>
    <col min="7973" max="8192" width="9.140625" style="162"/>
    <col min="8193" max="8193" width="2.7109375" style="162" customWidth="1"/>
    <col min="8194" max="8194" width="16.140625" style="162" customWidth="1"/>
    <col min="8195" max="8195" width="10.28515625" style="162" customWidth="1"/>
    <col min="8196" max="8199" width="11.140625" style="162" customWidth="1"/>
    <col min="8200" max="8200" width="2" style="162" customWidth="1"/>
    <col min="8201" max="8201" width="9.28515625" style="162" bestFit="1" customWidth="1"/>
    <col min="8202" max="8202" width="4.5703125" style="162" customWidth="1"/>
    <col min="8203" max="8203" width="9.28515625" style="162" bestFit="1" customWidth="1"/>
    <col min="8204" max="8204" width="4.5703125" style="162" customWidth="1"/>
    <col min="8205" max="8205" width="12.140625" style="162" bestFit="1" customWidth="1"/>
    <col min="8206" max="8206" width="6.85546875" style="162" customWidth="1"/>
    <col min="8207" max="8207" width="9.7109375" style="162" bestFit="1" customWidth="1"/>
    <col min="8208" max="8208" width="2.85546875" style="162" customWidth="1"/>
    <col min="8209" max="8209" width="2.28515625" style="162" customWidth="1"/>
    <col min="8210" max="8210" width="6.140625" style="162" customWidth="1"/>
    <col min="8211" max="8214" width="0" style="162" hidden="1" customWidth="1"/>
    <col min="8215" max="8215" width="8.42578125" style="162" customWidth="1"/>
    <col min="8216" max="8216" width="9.140625" style="162"/>
    <col min="8217" max="8217" width="5" style="162" customWidth="1"/>
    <col min="8218" max="8218" width="7.28515625" style="162" customWidth="1"/>
    <col min="8219" max="8220" width="0" style="162" hidden="1" customWidth="1"/>
    <col min="8221" max="8221" width="3.42578125" style="162" customWidth="1"/>
    <col min="8222" max="8222" width="13.85546875" style="162" customWidth="1"/>
    <col min="8223" max="8223" width="11.28515625" style="162" customWidth="1"/>
    <col min="8224" max="8224" width="12.5703125" style="162" customWidth="1"/>
    <col min="8225" max="8225" width="15.7109375" style="162" customWidth="1"/>
    <col min="8226" max="8226" width="14.5703125" style="162" customWidth="1"/>
    <col min="8227" max="8227" width="13.85546875" style="162" customWidth="1"/>
    <col min="8228" max="8228" width="12.140625" style="162" customWidth="1"/>
    <col min="8229" max="8448" width="9.140625" style="162"/>
    <col min="8449" max="8449" width="2.7109375" style="162" customWidth="1"/>
    <col min="8450" max="8450" width="16.140625" style="162" customWidth="1"/>
    <col min="8451" max="8451" width="10.28515625" style="162" customWidth="1"/>
    <col min="8452" max="8455" width="11.140625" style="162" customWidth="1"/>
    <col min="8456" max="8456" width="2" style="162" customWidth="1"/>
    <col min="8457" max="8457" width="9.28515625" style="162" bestFit="1" customWidth="1"/>
    <col min="8458" max="8458" width="4.5703125" style="162" customWidth="1"/>
    <col min="8459" max="8459" width="9.28515625" style="162" bestFit="1" customWidth="1"/>
    <col min="8460" max="8460" width="4.5703125" style="162" customWidth="1"/>
    <col min="8461" max="8461" width="12.140625" style="162" bestFit="1" customWidth="1"/>
    <col min="8462" max="8462" width="6.85546875" style="162" customWidth="1"/>
    <col min="8463" max="8463" width="9.7109375" style="162" bestFit="1" customWidth="1"/>
    <col min="8464" max="8464" width="2.85546875" style="162" customWidth="1"/>
    <col min="8465" max="8465" width="2.28515625" style="162" customWidth="1"/>
    <col min="8466" max="8466" width="6.140625" style="162" customWidth="1"/>
    <col min="8467" max="8470" width="0" style="162" hidden="1" customWidth="1"/>
    <col min="8471" max="8471" width="8.42578125" style="162" customWidth="1"/>
    <col min="8472" max="8472" width="9.140625" style="162"/>
    <col min="8473" max="8473" width="5" style="162" customWidth="1"/>
    <col min="8474" max="8474" width="7.28515625" style="162" customWidth="1"/>
    <col min="8475" max="8476" width="0" style="162" hidden="1" customWidth="1"/>
    <col min="8477" max="8477" width="3.42578125" style="162" customWidth="1"/>
    <col min="8478" max="8478" width="13.85546875" style="162" customWidth="1"/>
    <col min="8479" max="8479" width="11.28515625" style="162" customWidth="1"/>
    <col min="8480" max="8480" width="12.5703125" style="162" customWidth="1"/>
    <col min="8481" max="8481" width="15.7109375" style="162" customWidth="1"/>
    <col min="8482" max="8482" width="14.5703125" style="162" customWidth="1"/>
    <col min="8483" max="8483" width="13.85546875" style="162" customWidth="1"/>
    <col min="8484" max="8484" width="12.140625" style="162" customWidth="1"/>
    <col min="8485" max="8704" width="9.140625" style="162"/>
    <col min="8705" max="8705" width="2.7109375" style="162" customWidth="1"/>
    <col min="8706" max="8706" width="16.140625" style="162" customWidth="1"/>
    <col min="8707" max="8707" width="10.28515625" style="162" customWidth="1"/>
    <col min="8708" max="8711" width="11.140625" style="162" customWidth="1"/>
    <col min="8712" max="8712" width="2" style="162" customWidth="1"/>
    <col min="8713" max="8713" width="9.28515625" style="162" bestFit="1" customWidth="1"/>
    <col min="8714" max="8714" width="4.5703125" style="162" customWidth="1"/>
    <col min="8715" max="8715" width="9.28515625" style="162" bestFit="1" customWidth="1"/>
    <col min="8716" max="8716" width="4.5703125" style="162" customWidth="1"/>
    <col min="8717" max="8717" width="12.140625" style="162" bestFit="1" customWidth="1"/>
    <col min="8718" max="8718" width="6.85546875" style="162" customWidth="1"/>
    <col min="8719" max="8719" width="9.7109375" style="162" bestFit="1" customWidth="1"/>
    <col min="8720" max="8720" width="2.85546875" style="162" customWidth="1"/>
    <col min="8721" max="8721" width="2.28515625" style="162" customWidth="1"/>
    <col min="8722" max="8722" width="6.140625" style="162" customWidth="1"/>
    <col min="8723" max="8726" width="0" style="162" hidden="1" customWidth="1"/>
    <col min="8727" max="8727" width="8.42578125" style="162" customWidth="1"/>
    <col min="8728" max="8728" width="9.140625" style="162"/>
    <col min="8729" max="8729" width="5" style="162" customWidth="1"/>
    <col min="8730" max="8730" width="7.28515625" style="162" customWidth="1"/>
    <col min="8731" max="8732" width="0" style="162" hidden="1" customWidth="1"/>
    <col min="8733" max="8733" width="3.42578125" style="162" customWidth="1"/>
    <col min="8734" max="8734" width="13.85546875" style="162" customWidth="1"/>
    <col min="8735" max="8735" width="11.28515625" style="162" customWidth="1"/>
    <col min="8736" max="8736" width="12.5703125" style="162" customWidth="1"/>
    <col min="8737" max="8737" width="15.7109375" style="162" customWidth="1"/>
    <col min="8738" max="8738" width="14.5703125" style="162" customWidth="1"/>
    <col min="8739" max="8739" width="13.85546875" style="162" customWidth="1"/>
    <col min="8740" max="8740" width="12.140625" style="162" customWidth="1"/>
    <col min="8741" max="8960" width="9.140625" style="162"/>
    <col min="8961" max="8961" width="2.7109375" style="162" customWidth="1"/>
    <col min="8962" max="8962" width="16.140625" style="162" customWidth="1"/>
    <col min="8963" max="8963" width="10.28515625" style="162" customWidth="1"/>
    <col min="8964" max="8967" width="11.140625" style="162" customWidth="1"/>
    <col min="8968" max="8968" width="2" style="162" customWidth="1"/>
    <col min="8969" max="8969" width="9.28515625" style="162" bestFit="1" customWidth="1"/>
    <col min="8970" max="8970" width="4.5703125" style="162" customWidth="1"/>
    <col min="8971" max="8971" width="9.28515625" style="162" bestFit="1" customWidth="1"/>
    <col min="8972" max="8972" width="4.5703125" style="162" customWidth="1"/>
    <col min="8973" max="8973" width="12.140625" style="162" bestFit="1" customWidth="1"/>
    <col min="8974" max="8974" width="6.85546875" style="162" customWidth="1"/>
    <col min="8975" max="8975" width="9.7109375" style="162" bestFit="1" customWidth="1"/>
    <col min="8976" max="8976" width="2.85546875" style="162" customWidth="1"/>
    <col min="8977" max="8977" width="2.28515625" style="162" customWidth="1"/>
    <col min="8978" max="8978" width="6.140625" style="162" customWidth="1"/>
    <col min="8979" max="8982" width="0" style="162" hidden="1" customWidth="1"/>
    <col min="8983" max="8983" width="8.42578125" style="162" customWidth="1"/>
    <col min="8984" max="8984" width="9.140625" style="162"/>
    <col min="8985" max="8985" width="5" style="162" customWidth="1"/>
    <col min="8986" max="8986" width="7.28515625" style="162" customWidth="1"/>
    <col min="8987" max="8988" width="0" style="162" hidden="1" customWidth="1"/>
    <col min="8989" max="8989" width="3.42578125" style="162" customWidth="1"/>
    <col min="8990" max="8990" width="13.85546875" style="162" customWidth="1"/>
    <col min="8991" max="8991" width="11.28515625" style="162" customWidth="1"/>
    <col min="8992" max="8992" width="12.5703125" style="162" customWidth="1"/>
    <col min="8993" max="8993" width="15.7109375" style="162" customWidth="1"/>
    <col min="8994" max="8994" width="14.5703125" style="162" customWidth="1"/>
    <col min="8995" max="8995" width="13.85546875" style="162" customWidth="1"/>
    <col min="8996" max="8996" width="12.140625" style="162" customWidth="1"/>
    <col min="8997" max="9216" width="9.140625" style="162"/>
    <col min="9217" max="9217" width="2.7109375" style="162" customWidth="1"/>
    <col min="9218" max="9218" width="16.140625" style="162" customWidth="1"/>
    <col min="9219" max="9219" width="10.28515625" style="162" customWidth="1"/>
    <col min="9220" max="9223" width="11.140625" style="162" customWidth="1"/>
    <col min="9224" max="9224" width="2" style="162" customWidth="1"/>
    <col min="9225" max="9225" width="9.28515625" style="162" bestFit="1" customWidth="1"/>
    <col min="9226" max="9226" width="4.5703125" style="162" customWidth="1"/>
    <col min="9227" max="9227" width="9.28515625" style="162" bestFit="1" customWidth="1"/>
    <col min="9228" max="9228" width="4.5703125" style="162" customWidth="1"/>
    <col min="9229" max="9229" width="12.140625" style="162" bestFit="1" customWidth="1"/>
    <col min="9230" max="9230" width="6.85546875" style="162" customWidth="1"/>
    <col min="9231" max="9231" width="9.7109375" style="162" bestFit="1" customWidth="1"/>
    <col min="9232" max="9232" width="2.85546875" style="162" customWidth="1"/>
    <col min="9233" max="9233" width="2.28515625" style="162" customWidth="1"/>
    <col min="9234" max="9234" width="6.140625" style="162" customWidth="1"/>
    <col min="9235" max="9238" width="0" style="162" hidden="1" customWidth="1"/>
    <col min="9239" max="9239" width="8.42578125" style="162" customWidth="1"/>
    <col min="9240" max="9240" width="9.140625" style="162"/>
    <col min="9241" max="9241" width="5" style="162" customWidth="1"/>
    <col min="9242" max="9242" width="7.28515625" style="162" customWidth="1"/>
    <col min="9243" max="9244" width="0" style="162" hidden="1" customWidth="1"/>
    <col min="9245" max="9245" width="3.42578125" style="162" customWidth="1"/>
    <col min="9246" max="9246" width="13.85546875" style="162" customWidth="1"/>
    <col min="9247" max="9247" width="11.28515625" style="162" customWidth="1"/>
    <col min="9248" max="9248" width="12.5703125" style="162" customWidth="1"/>
    <col min="9249" max="9249" width="15.7109375" style="162" customWidth="1"/>
    <col min="9250" max="9250" width="14.5703125" style="162" customWidth="1"/>
    <col min="9251" max="9251" width="13.85546875" style="162" customWidth="1"/>
    <col min="9252" max="9252" width="12.140625" style="162" customWidth="1"/>
    <col min="9253" max="9472" width="9.140625" style="162"/>
    <col min="9473" max="9473" width="2.7109375" style="162" customWidth="1"/>
    <col min="9474" max="9474" width="16.140625" style="162" customWidth="1"/>
    <col min="9475" max="9475" width="10.28515625" style="162" customWidth="1"/>
    <col min="9476" max="9479" width="11.140625" style="162" customWidth="1"/>
    <col min="9480" max="9480" width="2" style="162" customWidth="1"/>
    <col min="9481" max="9481" width="9.28515625" style="162" bestFit="1" customWidth="1"/>
    <col min="9482" max="9482" width="4.5703125" style="162" customWidth="1"/>
    <col min="9483" max="9483" width="9.28515625" style="162" bestFit="1" customWidth="1"/>
    <col min="9484" max="9484" width="4.5703125" style="162" customWidth="1"/>
    <col min="9485" max="9485" width="12.140625" style="162" bestFit="1" customWidth="1"/>
    <col min="9486" max="9486" width="6.85546875" style="162" customWidth="1"/>
    <col min="9487" max="9487" width="9.7109375" style="162" bestFit="1" customWidth="1"/>
    <col min="9488" max="9488" width="2.85546875" style="162" customWidth="1"/>
    <col min="9489" max="9489" width="2.28515625" style="162" customWidth="1"/>
    <col min="9490" max="9490" width="6.140625" style="162" customWidth="1"/>
    <col min="9491" max="9494" width="0" style="162" hidden="1" customWidth="1"/>
    <col min="9495" max="9495" width="8.42578125" style="162" customWidth="1"/>
    <col min="9496" max="9496" width="9.140625" style="162"/>
    <col min="9497" max="9497" width="5" style="162" customWidth="1"/>
    <col min="9498" max="9498" width="7.28515625" style="162" customWidth="1"/>
    <col min="9499" max="9500" width="0" style="162" hidden="1" customWidth="1"/>
    <col min="9501" max="9501" width="3.42578125" style="162" customWidth="1"/>
    <col min="9502" max="9502" width="13.85546875" style="162" customWidth="1"/>
    <col min="9503" max="9503" width="11.28515625" style="162" customWidth="1"/>
    <col min="9504" max="9504" width="12.5703125" style="162" customWidth="1"/>
    <col min="9505" max="9505" width="15.7109375" style="162" customWidth="1"/>
    <col min="9506" max="9506" width="14.5703125" style="162" customWidth="1"/>
    <col min="9507" max="9507" width="13.85546875" style="162" customWidth="1"/>
    <col min="9508" max="9508" width="12.140625" style="162" customWidth="1"/>
    <col min="9509" max="9728" width="9.140625" style="162"/>
    <col min="9729" max="9729" width="2.7109375" style="162" customWidth="1"/>
    <col min="9730" max="9730" width="16.140625" style="162" customWidth="1"/>
    <col min="9731" max="9731" width="10.28515625" style="162" customWidth="1"/>
    <col min="9732" max="9735" width="11.140625" style="162" customWidth="1"/>
    <col min="9736" max="9736" width="2" style="162" customWidth="1"/>
    <col min="9737" max="9737" width="9.28515625" style="162" bestFit="1" customWidth="1"/>
    <col min="9738" max="9738" width="4.5703125" style="162" customWidth="1"/>
    <col min="9739" max="9739" width="9.28515625" style="162" bestFit="1" customWidth="1"/>
    <col min="9740" max="9740" width="4.5703125" style="162" customWidth="1"/>
    <col min="9741" max="9741" width="12.140625" style="162" bestFit="1" customWidth="1"/>
    <col min="9742" max="9742" width="6.85546875" style="162" customWidth="1"/>
    <col min="9743" max="9743" width="9.7109375" style="162" bestFit="1" customWidth="1"/>
    <col min="9744" max="9744" width="2.85546875" style="162" customWidth="1"/>
    <col min="9745" max="9745" width="2.28515625" style="162" customWidth="1"/>
    <col min="9746" max="9746" width="6.140625" style="162" customWidth="1"/>
    <col min="9747" max="9750" width="0" style="162" hidden="1" customWidth="1"/>
    <col min="9751" max="9751" width="8.42578125" style="162" customWidth="1"/>
    <col min="9752" max="9752" width="9.140625" style="162"/>
    <col min="9753" max="9753" width="5" style="162" customWidth="1"/>
    <col min="9754" max="9754" width="7.28515625" style="162" customWidth="1"/>
    <col min="9755" max="9756" width="0" style="162" hidden="1" customWidth="1"/>
    <col min="9757" max="9757" width="3.42578125" style="162" customWidth="1"/>
    <col min="9758" max="9758" width="13.85546875" style="162" customWidth="1"/>
    <col min="9759" max="9759" width="11.28515625" style="162" customWidth="1"/>
    <col min="9760" max="9760" width="12.5703125" style="162" customWidth="1"/>
    <col min="9761" max="9761" width="15.7109375" style="162" customWidth="1"/>
    <col min="9762" max="9762" width="14.5703125" style="162" customWidth="1"/>
    <col min="9763" max="9763" width="13.85546875" style="162" customWidth="1"/>
    <col min="9764" max="9764" width="12.140625" style="162" customWidth="1"/>
    <col min="9765" max="9984" width="9.140625" style="162"/>
    <col min="9985" max="9985" width="2.7109375" style="162" customWidth="1"/>
    <col min="9986" max="9986" width="16.140625" style="162" customWidth="1"/>
    <col min="9987" max="9987" width="10.28515625" style="162" customWidth="1"/>
    <col min="9988" max="9991" width="11.140625" style="162" customWidth="1"/>
    <col min="9992" max="9992" width="2" style="162" customWidth="1"/>
    <col min="9993" max="9993" width="9.28515625" style="162" bestFit="1" customWidth="1"/>
    <col min="9994" max="9994" width="4.5703125" style="162" customWidth="1"/>
    <col min="9995" max="9995" width="9.28515625" style="162" bestFit="1" customWidth="1"/>
    <col min="9996" max="9996" width="4.5703125" style="162" customWidth="1"/>
    <col min="9997" max="9997" width="12.140625" style="162" bestFit="1" customWidth="1"/>
    <col min="9998" max="9998" width="6.85546875" style="162" customWidth="1"/>
    <col min="9999" max="9999" width="9.7109375" style="162" bestFit="1" customWidth="1"/>
    <col min="10000" max="10000" width="2.85546875" style="162" customWidth="1"/>
    <col min="10001" max="10001" width="2.28515625" style="162" customWidth="1"/>
    <col min="10002" max="10002" width="6.140625" style="162" customWidth="1"/>
    <col min="10003" max="10006" width="0" style="162" hidden="1" customWidth="1"/>
    <col min="10007" max="10007" width="8.42578125" style="162" customWidth="1"/>
    <col min="10008" max="10008" width="9.140625" style="162"/>
    <col min="10009" max="10009" width="5" style="162" customWidth="1"/>
    <col min="10010" max="10010" width="7.28515625" style="162" customWidth="1"/>
    <col min="10011" max="10012" width="0" style="162" hidden="1" customWidth="1"/>
    <col min="10013" max="10013" width="3.42578125" style="162" customWidth="1"/>
    <col min="10014" max="10014" width="13.85546875" style="162" customWidth="1"/>
    <col min="10015" max="10015" width="11.28515625" style="162" customWidth="1"/>
    <col min="10016" max="10016" width="12.5703125" style="162" customWidth="1"/>
    <col min="10017" max="10017" width="15.7109375" style="162" customWidth="1"/>
    <col min="10018" max="10018" width="14.5703125" style="162" customWidth="1"/>
    <col min="10019" max="10019" width="13.85546875" style="162" customWidth="1"/>
    <col min="10020" max="10020" width="12.140625" style="162" customWidth="1"/>
    <col min="10021" max="10240" width="9.140625" style="162"/>
    <col min="10241" max="10241" width="2.7109375" style="162" customWidth="1"/>
    <col min="10242" max="10242" width="16.140625" style="162" customWidth="1"/>
    <col min="10243" max="10243" width="10.28515625" style="162" customWidth="1"/>
    <col min="10244" max="10247" width="11.140625" style="162" customWidth="1"/>
    <col min="10248" max="10248" width="2" style="162" customWidth="1"/>
    <col min="10249" max="10249" width="9.28515625" style="162" bestFit="1" customWidth="1"/>
    <col min="10250" max="10250" width="4.5703125" style="162" customWidth="1"/>
    <col min="10251" max="10251" width="9.28515625" style="162" bestFit="1" customWidth="1"/>
    <col min="10252" max="10252" width="4.5703125" style="162" customWidth="1"/>
    <col min="10253" max="10253" width="12.140625" style="162" bestFit="1" customWidth="1"/>
    <col min="10254" max="10254" width="6.85546875" style="162" customWidth="1"/>
    <col min="10255" max="10255" width="9.7109375" style="162" bestFit="1" customWidth="1"/>
    <col min="10256" max="10256" width="2.85546875" style="162" customWidth="1"/>
    <col min="10257" max="10257" width="2.28515625" style="162" customWidth="1"/>
    <col min="10258" max="10258" width="6.140625" style="162" customWidth="1"/>
    <col min="10259" max="10262" width="0" style="162" hidden="1" customWidth="1"/>
    <col min="10263" max="10263" width="8.42578125" style="162" customWidth="1"/>
    <col min="10264" max="10264" width="9.140625" style="162"/>
    <col min="10265" max="10265" width="5" style="162" customWidth="1"/>
    <col min="10266" max="10266" width="7.28515625" style="162" customWidth="1"/>
    <col min="10267" max="10268" width="0" style="162" hidden="1" customWidth="1"/>
    <col min="10269" max="10269" width="3.42578125" style="162" customWidth="1"/>
    <col min="10270" max="10270" width="13.85546875" style="162" customWidth="1"/>
    <col min="10271" max="10271" width="11.28515625" style="162" customWidth="1"/>
    <col min="10272" max="10272" width="12.5703125" style="162" customWidth="1"/>
    <col min="10273" max="10273" width="15.7109375" style="162" customWidth="1"/>
    <col min="10274" max="10274" width="14.5703125" style="162" customWidth="1"/>
    <col min="10275" max="10275" width="13.85546875" style="162" customWidth="1"/>
    <col min="10276" max="10276" width="12.140625" style="162" customWidth="1"/>
    <col min="10277" max="10496" width="9.140625" style="162"/>
    <col min="10497" max="10497" width="2.7109375" style="162" customWidth="1"/>
    <col min="10498" max="10498" width="16.140625" style="162" customWidth="1"/>
    <col min="10499" max="10499" width="10.28515625" style="162" customWidth="1"/>
    <col min="10500" max="10503" width="11.140625" style="162" customWidth="1"/>
    <col min="10504" max="10504" width="2" style="162" customWidth="1"/>
    <col min="10505" max="10505" width="9.28515625" style="162" bestFit="1" customWidth="1"/>
    <col min="10506" max="10506" width="4.5703125" style="162" customWidth="1"/>
    <col min="10507" max="10507" width="9.28515625" style="162" bestFit="1" customWidth="1"/>
    <col min="10508" max="10508" width="4.5703125" style="162" customWidth="1"/>
    <col min="10509" max="10509" width="12.140625" style="162" bestFit="1" customWidth="1"/>
    <col min="10510" max="10510" width="6.85546875" style="162" customWidth="1"/>
    <col min="10511" max="10511" width="9.7109375" style="162" bestFit="1" customWidth="1"/>
    <col min="10512" max="10512" width="2.85546875" style="162" customWidth="1"/>
    <col min="10513" max="10513" width="2.28515625" style="162" customWidth="1"/>
    <col min="10514" max="10514" width="6.140625" style="162" customWidth="1"/>
    <col min="10515" max="10518" width="0" style="162" hidden="1" customWidth="1"/>
    <col min="10519" max="10519" width="8.42578125" style="162" customWidth="1"/>
    <col min="10520" max="10520" width="9.140625" style="162"/>
    <col min="10521" max="10521" width="5" style="162" customWidth="1"/>
    <col min="10522" max="10522" width="7.28515625" style="162" customWidth="1"/>
    <col min="10523" max="10524" width="0" style="162" hidden="1" customWidth="1"/>
    <col min="10525" max="10525" width="3.42578125" style="162" customWidth="1"/>
    <col min="10526" max="10526" width="13.85546875" style="162" customWidth="1"/>
    <col min="10527" max="10527" width="11.28515625" style="162" customWidth="1"/>
    <col min="10528" max="10528" width="12.5703125" style="162" customWidth="1"/>
    <col min="10529" max="10529" width="15.7109375" style="162" customWidth="1"/>
    <col min="10530" max="10530" width="14.5703125" style="162" customWidth="1"/>
    <col min="10531" max="10531" width="13.85546875" style="162" customWidth="1"/>
    <col min="10532" max="10532" width="12.140625" style="162" customWidth="1"/>
    <col min="10533" max="10752" width="9.140625" style="162"/>
    <col min="10753" max="10753" width="2.7109375" style="162" customWidth="1"/>
    <col min="10754" max="10754" width="16.140625" style="162" customWidth="1"/>
    <col min="10755" max="10755" width="10.28515625" style="162" customWidth="1"/>
    <col min="10756" max="10759" width="11.140625" style="162" customWidth="1"/>
    <col min="10760" max="10760" width="2" style="162" customWidth="1"/>
    <col min="10761" max="10761" width="9.28515625" style="162" bestFit="1" customWidth="1"/>
    <col min="10762" max="10762" width="4.5703125" style="162" customWidth="1"/>
    <col min="10763" max="10763" width="9.28515625" style="162" bestFit="1" customWidth="1"/>
    <col min="10764" max="10764" width="4.5703125" style="162" customWidth="1"/>
    <col min="10765" max="10765" width="12.140625" style="162" bestFit="1" customWidth="1"/>
    <col min="10766" max="10766" width="6.85546875" style="162" customWidth="1"/>
    <col min="10767" max="10767" width="9.7109375" style="162" bestFit="1" customWidth="1"/>
    <col min="10768" max="10768" width="2.85546875" style="162" customWidth="1"/>
    <col min="10769" max="10769" width="2.28515625" style="162" customWidth="1"/>
    <col min="10770" max="10770" width="6.140625" style="162" customWidth="1"/>
    <col min="10771" max="10774" width="0" style="162" hidden="1" customWidth="1"/>
    <col min="10775" max="10775" width="8.42578125" style="162" customWidth="1"/>
    <col min="10776" max="10776" width="9.140625" style="162"/>
    <col min="10777" max="10777" width="5" style="162" customWidth="1"/>
    <col min="10778" max="10778" width="7.28515625" style="162" customWidth="1"/>
    <col min="10779" max="10780" width="0" style="162" hidden="1" customWidth="1"/>
    <col min="10781" max="10781" width="3.42578125" style="162" customWidth="1"/>
    <col min="10782" max="10782" width="13.85546875" style="162" customWidth="1"/>
    <col min="10783" max="10783" width="11.28515625" style="162" customWidth="1"/>
    <col min="10784" max="10784" width="12.5703125" style="162" customWidth="1"/>
    <col min="10785" max="10785" width="15.7109375" style="162" customWidth="1"/>
    <col min="10786" max="10786" width="14.5703125" style="162" customWidth="1"/>
    <col min="10787" max="10787" width="13.85546875" style="162" customWidth="1"/>
    <col min="10788" max="10788" width="12.140625" style="162" customWidth="1"/>
    <col min="10789" max="11008" width="9.140625" style="162"/>
    <col min="11009" max="11009" width="2.7109375" style="162" customWidth="1"/>
    <col min="11010" max="11010" width="16.140625" style="162" customWidth="1"/>
    <col min="11011" max="11011" width="10.28515625" style="162" customWidth="1"/>
    <col min="11012" max="11015" width="11.140625" style="162" customWidth="1"/>
    <col min="11016" max="11016" width="2" style="162" customWidth="1"/>
    <col min="11017" max="11017" width="9.28515625" style="162" bestFit="1" customWidth="1"/>
    <col min="11018" max="11018" width="4.5703125" style="162" customWidth="1"/>
    <col min="11019" max="11019" width="9.28515625" style="162" bestFit="1" customWidth="1"/>
    <col min="11020" max="11020" width="4.5703125" style="162" customWidth="1"/>
    <col min="11021" max="11021" width="12.140625" style="162" bestFit="1" customWidth="1"/>
    <col min="11022" max="11022" width="6.85546875" style="162" customWidth="1"/>
    <col min="11023" max="11023" width="9.7109375" style="162" bestFit="1" customWidth="1"/>
    <col min="11024" max="11024" width="2.85546875" style="162" customWidth="1"/>
    <col min="11025" max="11025" width="2.28515625" style="162" customWidth="1"/>
    <col min="11026" max="11026" width="6.140625" style="162" customWidth="1"/>
    <col min="11027" max="11030" width="0" style="162" hidden="1" customWidth="1"/>
    <col min="11031" max="11031" width="8.42578125" style="162" customWidth="1"/>
    <col min="11032" max="11032" width="9.140625" style="162"/>
    <col min="11033" max="11033" width="5" style="162" customWidth="1"/>
    <col min="11034" max="11034" width="7.28515625" style="162" customWidth="1"/>
    <col min="11035" max="11036" width="0" style="162" hidden="1" customWidth="1"/>
    <col min="11037" max="11037" width="3.42578125" style="162" customWidth="1"/>
    <col min="11038" max="11038" width="13.85546875" style="162" customWidth="1"/>
    <col min="11039" max="11039" width="11.28515625" style="162" customWidth="1"/>
    <col min="11040" max="11040" width="12.5703125" style="162" customWidth="1"/>
    <col min="11041" max="11041" width="15.7109375" style="162" customWidth="1"/>
    <col min="11042" max="11042" width="14.5703125" style="162" customWidth="1"/>
    <col min="11043" max="11043" width="13.85546875" style="162" customWidth="1"/>
    <col min="11044" max="11044" width="12.140625" style="162" customWidth="1"/>
    <col min="11045" max="11264" width="9.140625" style="162"/>
    <col min="11265" max="11265" width="2.7109375" style="162" customWidth="1"/>
    <col min="11266" max="11266" width="16.140625" style="162" customWidth="1"/>
    <col min="11267" max="11267" width="10.28515625" style="162" customWidth="1"/>
    <col min="11268" max="11271" width="11.140625" style="162" customWidth="1"/>
    <col min="11272" max="11272" width="2" style="162" customWidth="1"/>
    <col min="11273" max="11273" width="9.28515625" style="162" bestFit="1" customWidth="1"/>
    <col min="11274" max="11274" width="4.5703125" style="162" customWidth="1"/>
    <col min="11275" max="11275" width="9.28515625" style="162" bestFit="1" customWidth="1"/>
    <col min="11276" max="11276" width="4.5703125" style="162" customWidth="1"/>
    <col min="11277" max="11277" width="12.140625" style="162" bestFit="1" customWidth="1"/>
    <col min="11278" max="11278" width="6.85546875" style="162" customWidth="1"/>
    <col min="11279" max="11279" width="9.7109375" style="162" bestFit="1" customWidth="1"/>
    <col min="11280" max="11280" width="2.85546875" style="162" customWidth="1"/>
    <col min="11281" max="11281" width="2.28515625" style="162" customWidth="1"/>
    <col min="11282" max="11282" width="6.140625" style="162" customWidth="1"/>
    <col min="11283" max="11286" width="0" style="162" hidden="1" customWidth="1"/>
    <col min="11287" max="11287" width="8.42578125" style="162" customWidth="1"/>
    <col min="11288" max="11288" width="9.140625" style="162"/>
    <col min="11289" max="11289" width="5" style="162" customWidth="1"/>
    <col min="11290" max="11290" width="7.28515625" style="162" customWidth="1"/>
    <col min="11291" max="11292" width="0" style="162" hidden="1" customWidth="1"/>
    <col min="11293" max="11293" width="3.42578125" style="162" customWidth="1"/>
    <col min="11294" max="11294" width="13.85546875" style="162" customWidth="1"/>
    <col min="11295" max="11295" width="11.28515625" style="162" customWidth="1"/>
    <col min="11296" max="11296" width="12.5703125" style="162" customWidth="1"/>
    <col min="11297" max="11297" width="15.7109375" style="162" customWidth="1"/>
    <col min="11298" max="11298" width="14.5703125" style="162" customWidth="1"/>
    <col min="11299" max="11299" width="13.85546875" style="162" customWidth="1"/>
    <col min="11300" max="11300" width="12.140625" style="162" customWidth="1"/>
    <col min="11301" max="11520" width="9.140625" style="162"/>
    <col min="11521" max="11521" width="2.7109375" style="162" customWidth="1"/>
    <col min="11522" max="11522" width="16.140625" style="162" customWidth="1"/>
    <col min="11523" max="11523" width="10.28515625" style="162" customWidth="1"/>
    <col min="11524" max="11527" width="11.140625" style="162" customWidth="1"/>
    <col min="11528" max="11528" width="2" style="162" customWidth="1"/>
    <col min="11529" max="11529" width="9.28515625" style="162" bestFit="1" customWidth="1"/>
    <col min="11530" max="11530" width="4.5703125" style="162" customWidth="1"/>
    <col min="11531" max="11531" width="9.28515625" style="162" bestFit="1" customWidth="1"/>
    <col min="11532" max="11532" width="4.5703125" style="162" customWidth="1"/>
    <col min="11533" max="11533" width="12.140625" style="162" bestFit="1" customWidth="1"/>
    <col min="11534" max="11534" width="6.85546875" style="162" customWidth="1"/>
    <col min="11535" max="11535" width="9.7109375" style="162" bestFit="1" customWidth="1"/>
    <col min="11536" max="11536" width="2.85546875" style="162" customWidth="1"/>
    <col min="11537" max="11537" width="2.28515625" style="162" customWidth="1"/>
    <col min="11538" max="11538" width="6.140625" style="162" customWidth="1"/>
    <col min="11539" max="11542" width="0" style="162" hidden="1" customWidth="1"/>
    <col min="11543" max="11543" width="8.42578125" style="162" customWidth="1"/>
    <col min="11544" max="11544" width="9.140625" style="162"/>
    <col min="11545" max="11545" width="5" style="162" customWidth="1"/>
    <col min="11546" max="11546" width="7.28515625" style="162" customWidth="1"/>
    <col min="11547" max="11548" width="0" style="162" hidden="1" customWidth="1"/>
    <col min="11549" max="11549" width="3.42578125" style="162" customWidth="1"/>
    <col min="11550" max="11550" width="13.85546875" style="162" customWidth="1"/>
    <col min="11551" max="11551" width="11.28515625" style="162" customWidth="1"/>
    <col min="11552" max="11552" width="12.5703125" style="162" customWidth="1"/>
    <col min="11553" max="11553" width="15.7109375" style="162" customWidth="1"/>
    <col min="11554" max="11554" width="14.5703125" style="162" customWidth="1"/>
    <col min="11555" max="11555" width="13.85546875" style="162" customWidth="1"/>
    <col min="11556" max="11556" width="12.140625" style="162" customWidth="1"/>
    <col min="11557" max="11776" width="9.140625" style="162"/>
    <col min="11777" max="11777" width="2.7109375" style="162" customWidth="1"/>
    <col min="11778" max="11778" width="16.140625" style="162" customWidth="1"/>
    <col min="11779" max="11779" width="10.28515625" style="162" customWidth="1"/>
    <col min="11780" max="11783" width="11.140625" style="162" customWidth="1"/>
    <col min="11784" max="11784" width="2" style="162" customWidth="1"/>
    <col min="11785" max="11785" width="9.28515625" style="162" bestFit="1" customWidth="1"/>
    <col min="11786" max="11786" width="4.5703125" style="162" customWidth="1"/>
    <col min="11787" max="11787" width="9.28515625" style="162" bestFit="1" customWidth="1"/>
    <col min="11788" max="11788" width="4.5703125" style="162" customWidth="1"/>
    <col min="11789" max="11789" width="12.140625" style="162" bestFit="1" customWidth="1"/>
    <col min="11790" max="11790" width="6.85546875" style="162" customWidth="1"/>
    <col min="11791" max="11791" width="9.7109375" style="162" bestFit="1" customWidth="1"/>
    <col min="11792" max="11792" width="2.85546875" style="162" customWidth="1"/>
    <col min="11793" max="11793" width="2.28515625" style="162" customWidth="1"/>
    <col min="11794" max="11794" width="6.140625" style="162" customWidth="1"/>
    <col min="11795" max="11798" width="0" style="162" hidden="1" customWidth="1"/>
    <col min="11799" max="11799" width="8.42578125" style="162" customWidth="1"/>
    <col min="11800" max="11800" width="9.140625" style="162"/>
    <col min="11801" max="11801" width="5" style="162" customWidth="1"/>
    <col min="11802" max="11802" width="7.28515625" style="162" customWidth="1"/>
    <col min="11803" max="11804" width="0" style="162" hidden="1" customWidth="1"/>
    <col min="11805" max="11805" width="3.42578125" style="162" customWidth="1"/>
    <col min="11806" max="11806" width="13.85546875" style="162" customWidth="1"/>
    <col min="11807" max="11807" width="11.28515625" style="162" customWidth="1"/>
    <col min="11808" max="11808" width="12.5703125" style="162" customWidth="1"/>
    <col min="11809" max="11809" width="15.7109375" style="162" customWidth="1"/>
    <col min="11810" max="11810" width="14.5703125" style="162" customWidth="1"/>
    <col min="11811" max="11811" width="13.85546875" style="162" customWidth="1"/>
    <col min="11812" max="11812" width="12.140625" style="162" customWidth="1"/>
    <col min="11813" max="12032" width="9.140625" style="162"/>
    <col min="12033" max="12033" width="2.7109375" style="162" customWidth="1"/>
    <col min="12034" max="12034" width="16.140625" style="162" customWidth="1"/>
    <col min="12035" max="12035" width="10.28515625" style="162" customWidth="1"/>
    <col min="12036" max="12039" width="11.140625" style="162" customWidth="1"/>
    <col min="12040" max="12040" width="2" style="162" customWidth="1"/>
    <col min="12041" max="12041" width="9.28515625" style="162" bestFit="1" customWidth="1"/>
    <col min="12042" max="12042" width="4.5703125" style="162" customWidth="1"/>
    <col min="12043" max="12043" width="9.28515625" style="162" bestFit="1" customWidth="1"/>
    <col min="12044" max="12044" width="4.5703125" style="162" customWidth="1"/>
    <col min="12045" max="12045" width="12.140625" style="162" bestFit="1" customWidth="1"/>
    <col min="12046" max="12046" width="6.85546875" style="162" customWidth="1"/>
    <col min="12047" max="12047" width="9.7109375" style="162" bestFit="1" customWidth="1"/>
    <col min="12048" max="12048" width="2.85546875" style="162" customWidth="1"/>
    <col min="12049" max="12049" width="2.28515625" style="162" customWidth="1"/>
    <col min="12050" max="12050" width="6.140625" style="162" customWidth="1"/>
    <col min="12051" max="12054" width="0" style="162" hidden="1" customWidth="1"/>
    <col min="12055" max="12055" width="8.42578125" style="162" customWidth="1"/>
    <col min="12056" max="12056" width="9.140625" style="162"/>
    <col min="12057" max="12057" width="5" style="162" customWidth="1"/>
    <col min="12058" max="12058" width="7.28515625" style="162" customWidth="1"/>
    <col min="12059" max="12060" width="0" style="162" hidden="1" customWidth="1"/>
    <col min="12061" max="12061" width="3.42578125" style="162" customWidth="1"/>
    <col min="12062" max="12062" width="13.85546875" style="162" customWidth="1"/>
    <col min="12063" max="12063" width="11.28515625" style="162" customWidth="1"/>
    <col min="12064" max="12064" width="12.5703125" style="162" customWidth="1"/>
    <col min="12065" max="12065" width="15.7109375" style="162" customWidth="1"/>
    <col min="12066" max="12066" width="14.5703125" style="162" customWidth="1"/>
    <col min="12067" max="12067" width="13.85546875" style="162" customWidth="1"/>
    <col min="12068" max="12068" width="12.140625" style="162" customWidth="1"/>
    <col min="12069" max="12288" width="9.140625" style="162"/>
    <col min="12289" max="12289" width="2.7109375" style="162" customWidth="1"/>
    <col min="12290" max="12290" width="16.140625" style="162" customWidth="1"/>
    <col min="12291" max="12291" width="10.28515625" style="162" customWidth="1"/>
    <col min="12292" max="12295" width="11.140625" style="162" customWidth="1"/>
    <col min="12296" max="12296" width="2" style="162" customWidth="1"/>
    <col min="12297" max="12297" width="9.28515625" style="162" bestFit="1" customWidth="1"/>
    <col min="12298" max="12298" width="4.5703125" style="162" customWidth="1"/>
    <col min="12299" max="12299" width="9.28515625" style="162" bestFit="1" customWidth="1"/>
    <col min="12300" max="12300" width="4.5703125" style="162" customWidth="1"/>
    <col min="12301" max="12301" width="12.140625" style="162" bestFit="1" customWidth="1"/>
    <col min="12302" max="12302" width="6.85546875" style="162" customWidth="1"/>
    <col min="12303" max="12303" width="9.7109375" style="162" bestFit="1" customWidth="1"/>
    <col min="12304" max="12304" width="2.85546875" style="162" customWidth="1"/>
    <col min="12305" max="12305" width="2.28515625" style="162" customWidth="1"/>
    <col min="12306" max="12306" width="6.140625" style="162" customWidth="1"/>
    <col min="12307" max="12310" width="0" style="162" hidden="1" customWidth="1"/>
    <col min="12311" max="12311" width="8.42578125" style="162" customWidth="1"/>
    <col min="12312" max="12312" width="9.140625" style="162"/>
    <col min="12313" max="12313" width="5" style="162" customWidth="1"/>
    <col min="12314" max="12314" width="7.28515625" style="162" customWidth="1"/>
    <col min="12315" max="12316" width="0" style="162" hidden="1" customWidth="1"/>
    <col min="12317" max="12317" width="3.42578125" style="162" customWidth="1"/>
    <col min="12318" max="12318" width="13.85546875" style="162" customWidth="1"/>
    <col min="12319" max="12319" width="11.28515625" style="162" customWidth="1"/>
    <col min="12320" max="12320" width="12.5703125" style="162" customWidth="1"/>
    <col min="12321" max="12321" width="15.7109375" style="162" customWidth="1"/>
    <col min="12322" max="12322" width="14.5703125" style="162" customWidth="1"/>
    <col min="12323" max="12323" width="13.85546875" style="162" customWidth="1"/>
    <col min="12324" max="12324" width="12.140625" style="162" customWidth="1"/>
    <col min="12325" max="12544" width="9.140625" style="162"/>
    <col min="12545" max="12545" width="2.7109375" style="162" customWidth="1"/>
    <col min="12546" max="12546" width="16.140625" style="162" customWidth="1"/>
    <col min="12547" max="12547" width="10.28515625" style="162" customWidth="1"/>
    <col min="12548" max="12551" width="11.140625" style="162" customWidth="1"/>
    <col min="12552" max="12552" width="2" style="162" customWidth="1"/>
    <col min="12553" max="12553" width="9.28515625" style="162" bestFit="1" customWidth="1"/>
    <col min="12554" max="12554" width="4.5703125" style="162" customWidth="1"/>
    <col min="12555" max="12555" width="9.28515625" style="162" bestFit="1" customWidth="1"/>
    <col min="12556" max="12556" width="4.5703125" style="162" customWidth="1"/>
    <col min="12557" max="12557" width="12.140625" style="162" bestFit="1" customWidth="1"/>
    <col min="12558" max="12558" width="6.85546875" style="162" customWidth="1"/>
    <col min="12559" max="12559" width="9.7109375" style="162" bestFit="1" customWidth="1"/>
    <col min="12560" max="12560" width="2.85546875" style="162" customWidth="1"/>
    <col min="12561" max="12561" width="2.28515625" style="162" customWidth="1"/>
    <col min="12562" max="12562" width="6.140625" style="162" customWidth="1"/>
    <col min="12563" max="12566" width="0" style="162" hidden="1" customWidth="1"/>
    <col min="12567" max="12567" width="8.42578125" style="162" customWidth="1"/>
    <col min="12568" max="12568" width="9.140625" style="162"/>
    <col min="12569" max="12569" width="5" style="162" customWidth="1"/>
    <col min="12570" max="12570" width="7.28515625" style="162" customWidth="1"/>
    <col min="12571" max="12572" width="0" style="162" hidden="1" customWidth="1"/>
    <col min="12573" max="12573" width="3.42578125" style="162" customWidth="1"/>
    <col min="12574" max="12574" width="13.85546875" style="162" customWidth="1"/>
    <col min="12575" max="12575" width="11.28515625" style="162" customWidth="1"/>
    <col min="12576" max="12576" width="12.5703125" style="162" customWidth="1"/>
    <col min="12577" max="12577" width="15.7109375" style="162" customWidth="1"/>
    <col min="12578" max="12578" width="14.5703125" style="162" customWidth="1"/>
    <col min="12579" max="12579" width="13.85546875" style="162" customWidth="1"/>
    <col min="12580" max="12580" width="12.140625" style="162" customWidth="1"/>
    <col min="12581" max="12800" width="9.140625" style="162"/>
    <col min="12801" max="12801" width="2.7109375" style="162" customWidth="1"/>
    <col min="12802" max="12802" width="16.140625" style="162" customWidth="1"/>
    <col min="12803" max="12803" width="10.28515625" style="162" customWidth="1"/>
    <col min="12804" max="12807" width="11.140625" style="162" customWidth="1"/>
    <col min="12808" max="12808" width="2" style="162" customWidth="1"/>
    <col min="12809" max="12809" width="9.28515625" style="162" bestFit="1" customWidth="1"/>
    <col min="12810" max="12810" width="4.5703125" style="162" customWidth="1"/>
    <col min="12811" max="12811" width="9.28515625" style="162" bestFit="1" customWidth="1"/>
    <col min="12812" max="12812" width="4.5703125" style="162" customWidth="1"/>
    <col min="12813" max="12813" width="12.140625" style="162" bestFit="1" customWidth="1"/>
    <col min="12814" max="12814" width="6.85546875" style="162" customWidth="1"/>
    <col min="12815" max="12815" width="9.7109375" style="162" bestFit="1" customWidth="1"/>
    <col min="12816" max="12816" width="2.85546875" style="162" customWidth="1"/>
    <col min="12817" max="12817" width="2.28515625" style="162" customWidth="1"/>
    <col min="12818" max="12818" width="6.140625" style="162" customWidth="1"/>
    <col min="12819" max="12822" width="0" style="162" hidden="1" customWidth="1"/>
    <col min="12823" max="12823" width="8.42578125" style="162" customWidth="1"/>
    <col min="12824" max="12824" width="9.140625" style="162"/>
    <col min="12825" max="12825" width="5" style="162" customWidth="1"/>
    <col min="12826" max="12826" width="7.28515625" style="162" customWidth="1"/>
    <col min="12827" max="12828" width="0" style="162" hidden="1" customWidth="1"/>
    <col min="12829" max="12829" width="3.42578125" style="162" customWidth="1"/>
    <col min="12830" max="12830" width="13.85546875" style="162" customWidth="1"/>
    <col min="12831" max="12831" width="11.28515625" style="162" customWidth="1"/>
    <col min="12832" max="12832" width="12.5703125" style="162" customWidth="1"/>
    <col min="12833" max="12833" width="15.7109375" style="162" customWidth="1"/>
    <col min="12834" max="12834" width="14.5703125" style="162" customWidth="1"/>
    <col min="12835" max="12835" width="13.85546875" style="162" customWidth="1"/>
    <col min="12836" max="12836" width="12.140625" style="162" customWidth="1"/>
    <col min="12837" max="13056" width="9.140625" style="162"/>
    <col min="13057" max="13057" width="2.7109375" style="162" customWidth="1"/>
    <col min="13058" max="13058" width="16.140625" style="162" customWidth="1"/>
    <col min="13059" max="13059" width="10.28515625" style="162" customWidth="1"/>
    <col min="13060" max="13063" width="11.140625" style="162" customWidth="1"/>
    <col min="13064" max="13064" width="2" style="162" customWidth="1"/>
    <col min="13065" max="13065" width="9.28515625" style="162" bestFit="1" customWidth="1"/>
    <col min="13066" max="13066" width="4.5703125" style="162" customWidth="1"/>
    <col min="13067" max="13067" width="9.28515625" style="162" bestFit="1" customWidth="1"/>
    <col min="13068" max="13068" width="4.5703125" style="162" customWidth="1"/>
    <col min="13069" max="13069" width="12.140625" style="162" bestFit="1" customWidth="1"/>
    <col min="13070" max="13070" width="6.85546875" style="162" customWidth="1"/>
    <col min="13071" max="13071" width="9.7109375" style="162" bestFit="1" customWidth="1"/>
    <col min="13072" max="13072" width="2.85546875" style="162" customWidth="1"/>
    <col min="13073" max="13073" width="2.28515625" style="162" customWidth="1"/>
    <col min="13074" max="13074" width="6.140625" style="162" customWidth="1"/>
    <col min="13075" max="13078" width="0" style="162" hidden="1" customWidth="1"/>
    <col min="13079" max="13079" width="8.42578125" style="162" customWidth="1"/>
    <col min="13080" max="13080" width="9.140625" style="162"/>
    <col min="13081" max="13081" width="5" style="162" customWidth="1"/>
    <col min="13082" max="13082" width="7.28515625" style="162" customWidth="1"/>
    <col min="13083" max="13084" width="0" style="162" hidden="1" customWidth="1"/>
    <col min="13085" max="13085" width="3.42578125" style="162" customWidth="1"/>
    <col min="13086" max="13086" width="13.85546875" style="162" customWidth="1"/>
    <col min="13087" max="13087" width="11.28515625" style="162" customWidth="1"/>
    <col min="13088" max="13088" width="12.5703125" style="162" customWidth="1"/>
    <col min="13089" max="13089" width="15.7109375" style="162" customWidth="1"/>
    <col min="13090" max="13090" width="14.5703125" style="162" customWidth="1"/>
    <col min="13091" max="13091" width="13.85546875" style="162" customWidth="1"/>
    <col min="13092" max="13092" width="12.140625" style="162" customWidth="1"/>
    <col min="13093" max="13312" width="9.140625" style="162"/>
    <col min="13313" max="13313" width="2.7109375" style="162" customWidth="1"/>
    <col min="13314" max="13314" width="16.140625" style="162" customWidth="1"/>
    <col min="13315" max="13315" width="10.28515625" style="162" customWidth="1"/>
    <col min="13316" max="13319" width="11.140625" style="162" customWidth="1"/>
    <col min="13320" max="13320" width="2" style="162" customWidth="1"/>
    <col min="13321" max="13321" width="9.28515625" style="162" bestFit="1" customWidth="1"/>
    <col min="13322" max="13322" width="4.5703125" style="162" customWidth="1"/>
    <col min="13323" max="13323" width="9.28515625" style="162" bestFit="1" customWidth="1"/>
    <col min="13324" max="13324" width="4.5703125" style="162" customWidth="1"/>
    <col min="13325" max="13325" width="12.140625" style="162" bestFit="1" customWidth="1"/>
    <col min="13326" max="13326" width="6.85546875" style="162" customWidth="1"/>
    <col min="13327" max="13327" width="9.7109375" style="162" bestFit="1" customWidth="1"/>
    <col min="13328" max="13328" width="2.85546875" style="162" customWidth="1"/>
    <col min="13329" max="13329" width="2.28515625" style="162" customWidth="1"/>
    <col min="13330" max="13330" width="6.140625" style="162" customWidth="1"/>
    <col min="13331" max="13334" width="0" style="162" hidden="1" customWidth="1"/>
    <col min="13335" max="13335" width="8.42578125" style="162" customWidth="1"/>
    <col min="13336" max="13336" width="9.140625" style="162"/>
    <col min="13337" max="13337" width="5" style="162" customWidth="1"/>
    <col min="13338" max="13338" width="7.28515625" style="162" customWidth="1"/>
    <col min="13339" max="13340" width="0" style="162" hidden="1" customWidth="1"/>
    <col min="13341" max="13341" width="3.42578125" style="162" customWidth="1"/>
    <col min="13342" max="13342" width="13.85546875" style="162" customWidth="1"/>
    <col min="13343" max="13343" width="11.28515625" style="162" customWidth="1"/>
    <col min="13344" max="13344" width="12.5703125" style="162" customWidth="1"/>
    <col min="13345" max="13345" width="15.7109375" style="162" customWidth="1"/>
    <col min="13346" max="13346" width="14.5703125" style="162" customWidth="1"/>
    <col min="13347" max="13347" width="13.85546875" style="162" customWidth="1"/>
    <col min="13348" max="13348" width="12.140625" style="162" customWidth="1"/>
    <col min="13349" max="13568" width="9.140625" style="162"/>
    <col min="13569" max="13569" width="2.7109375" style="162" customWidth="1"/>
    <col min="13570" max="13570" width="16.140625" style="162" customWidth="1"/>
    <col min="13571" max="13571" width="10.28515625" style="162" customWidth="1"/>
    <col min="13572" max="13575" width="11.140625" style="162" customWidth="1"/>
    <col min="13576" max="13576" width="2" style="162" customWidth="1"/>
    <col min="13577" max="13577" width="9.28515625" style="162" bestFit="1" customWidth="1"/>
    <col min="13578" max="13578" width="4.5703125" style="162" customWidth="1"/>
    <col min="13579" max="13579" width="9.28515625" style="162" bestFit="1" customWidth="1"/>
    <col min="13580" max="13580" width="4.5703125" style="162" customWidth="1"/>
    <col min="13581" max="13581" width="12.140625" style="162" bestFit="1" customWidth="1"/>
    <col min="13582" max="13582" width="6.85546875" style="162" customWidth="1"/>
    <col min="13583" max="13583" width="9.7109375" style="162" bestFit="1" customWidth="1"/>
    <col min="13584" max="13584" width="2.85546875" style="162" customWidth="1"/>
    <col min="13585" max="13585" width="2.28515625" style="162" customWidth="1"/>
    <col min="13586" max="13586" width="6.140625" style="162" customWidth="1"/>
    <col min="13587" max="13590" width="0" style="162" hidden="1" customWidth="1"/>
    <col min="13591" max="13591" width="8.42578125" style="162" customWidth="1"/>
    <col min="13592" max="13592" width="9.140625" style="162"/>
    <col min="13593" max="13593" width="5" style="162" customWidth="1"/>
    <col min="13594" max="13594" width="7.28515625" style="162" customWidth="1"/>
    <col min="13595" max="13596" width="0" style="162" hidden="1" customWidth="1"/>
    <col min="13597" max="13597" width="3.42578125" style="162" customWidth="1"/>
    <col min="13598" max="13598" width="13.85546875" style="162" customWidth="1"/>
    <col min="13599" max="13599" width="11.28515625" style="162" customWidth="1"/>
    <col min="13600" max="13600" width="12.5703125" style="162" customWidth="1"/>
    <col min="13601" max="13601" width="15.7109375" style="162" customWidth="1"/>
    <col min="13602" max="13602" width="14.5703125" style="162" customWidth="1"/>
    <col min="13603" max="13603" width="13.85546875" style="162" customWidth="1"/>
    <col min="13604" max="13604" width="12.140625" style="162" customWidth="1"/>
    <col min="13605" max="13824" width="9.140625" style="162"/>
    <col min="13825" max="13825" width="2.7109375" style="162" customWidth="1"/>
    <col min="13826" max="13826" width="16.140625" style="162" customWidth="1"/>
    <col min="13827" max="13827" width="10.28515625" style="162" customWidth="1"/>
    <col min="13828" max="13831" width="11.140625" style="162" customWidth="1"/>
    <col min="13832" max="13832" width="2" style="162" customWidth="1"/>
    <col min="13833" max="13833" width="9.28515625" style="162" bestFit="1" customWidth="1"/>
    <col min="13834" max="13834" width="4.5703125" style="162" customWidth="1"/>
    <col min="13835" max="13835" width="9.28515625" style="162" bestFit="1" customWidth="1"/>
    <col min="13836" max="13836" width="4.5703125" style="162" customWidth="1"/>
    <col min="13837" max="13837" width="12.140625" style="162" bestFit="1" customWidth="1"/>
    <col min="13838" max="13838" width="6.85546875" style="162" customWidth="1"/>
    <col min="13839" max="13839" width="9.7109375" style="162" bestFit="1" customWidth="1"/>
    <col min="13840" max="13840" width="2.85546875" style="162" customWidth="1"/>
    <col min="13841" max="13841" width="2.28515625" style="162" customWidth="1"/>
    <col min="13842" max="13842" width="6.140625" style="162" customWidth="1"/>
    <col min="13843" max="13846" width="0" style="162" hidden="1" customWidth="1"/>
    <col min="13847" max="13847" width="8.42578125" style="162" customWidth="1"/>
    <col min="13848" max="13848" width="9.140625" style="162"/>
    <col min="13849" max="13849" width="5" style="162" customWidth="1"/>
    <col min="13850" max="13850" width="7.28515625" style="162" customWidth="1"/>
    <col min="13851" max="13852" width="0" style="162" hidden="1" customWidth="1"/>
    <col min="13853" max="13853" width="3.42578125" style="162" customWidth="1"/>
    <col min="13854" max="13854" width="13.85546875" style="162" customWidth="1"/>
    <col min="13855" max="13855" width="11.28515625" style="162" customWidth="1"/>
    <col min="13856" max="13856" width="12.5703125" style="162" customWidth="1"/>
    <col min="13857" max="13857" width="15.7109375" style="162" customWidth="1"/>
    <col min="13858" max="13858" width="14.5703125" style="162" customWidth="1"/>
    <col min="13859" max="13859" width="13.85546875" style="162" customWidth="1"/>
    <col min="13860" max="13860" width="12.140625" style="162" customWidth="1"/>
    <col min="13861" max="14080" width="9.140625" style="162"/>
    <col min="14081" max="14081" width="2.7109375" style="162" customWidth="1"/>
    <col min="14082" max="14082" width="16.140625" style="162" customWidth="1"/>
    <col min="14083" max="14083" width="10.28515625" style="162" customWidth="1"/>
    <col min="14084" max="14087" width="11.140625" style="162" customWidth="1"/>
    <col min="14088" max="14088" width="2" style="162" customWidth="1"/>
    <col min="14089" max="14089" width="9.28515625" style="162" bestFit="1" customWidth="1"/>
    <col min="14090" max="14090" width="4.5703125" style="162" customWidth="1"/>
    <col min="14091" max="14091" width="9.28515625" style="162" bestFit="1" customWidth="1"/>
    <col min="14092" max="14092" width="4.5703125" style="162" customWidth="1"/>
    <col min="14093" max="14093" width="12.140625" style="162" bestFit="1" customWidth="1"/>
    <col min="14094" max="14094" width="6.85546875" style="162" customWidth="1"/>
    <col min="14095" max="14095" width="9.7109375" style="162" bestFit="1" customWidth="1"/>
    <col min="14096" max="14096" width="2.85546875" style="162" customWidth="1"/>
    <col min="14097" max="14097" width="2.28515625" style="162" customWidth="1"/>
    <col min="14098" max="14098" width="6.140625" style="162" customWidth="1"/>
    <col min="14099" max="14102" width="0" style="162" hidden="1" customWidth="1"/>
    <col min="14103" max="14103" width="8.42578125" style="162" customWidth="1"/>
    <col min="14104" max="14104" width="9.140625" style="162"/>
    <col min="14105" max="14105" width="5" style="162" customWidth="1"/>
    <col min="14106" max="14106" width="7.28515625" style="162" customWidth="1"/>
    <col min="14107" max="14108" width="0" style="162" hidden="1" customWidth="1"/>
    <col min="14109" max="14109" width="3.42578125" style="162" customWidth="1"/>
    <col min="14110" max="14110" width="13.85546875" style="162" customWidth="1"/>
    <col min="14111" max="14111" width="11.28515625" style="162" customWidth="1"/>
    <col min="14112" max="14112" width="12.5703125" style="162" customWidth="1"/>
    <col min="14113" max="14113" width="15.7109375" style="162" customWidth="1"/>
    <col min="14114" max="14114" width="14.5703125" style="162" customWidth="1"/>
    <col min="14115" max="14115" width="13.85546875" style="162" customWidth="1"/>
    <col min="14116" max="14116" width="12.140625" style="162" customWidth="1"/>
    <col min="14117" max="14336" width="9.140625" style="162"/>
    <col min="14337" max="14337" width="2.7109375" style="162" customWidth="1"/>
    <col min="14338" max="14338" width="16.140625" style="162" customWidth="1"/>
    <col min="14339" max="14339" width="10.28515625" style="162" customWidth="1"/>
    <col min="14340" max="14343" width="11.140625" style="162" customWidth="1"/>
    <col min="14344" max="14344" width="2" style="162" customWidth="1"/>
    <col min="14345" max="14345" width="9.28515625" style="162" bestFit="1" customWidth="1"/>
    <col min="14346" max="14346" width="4.5703125" style="162" customWidth="1"/>
    <col min="14347" max="14347" width="9.28515625" style="162" bestFit="1" customWidth="1"/>
    <col min="14348" max="14348" width="4.5703125" style="162" customWidth="1"/>
    <col min="14349" max="14349" width="12.140625" style="162" bestFit="1" customWidth="1"/>
    <col min="14350" max="14350" width="6.85546875" style="162" customWidth="1"/>
    <col min="14351" max="14351" width="9.7109375" style="162" bestFit="1" customWidth="1"/>
    <col min="14352" max="14352" width="2.85546875" style="162" customWidth="1"/>
    <col min="14353" max="14353" width="2.28515625" style="162" customWidth="1"/>
    <col min="14354" max="14354" width="6.140625" style="162" customWidth="1"/>
    <col min="14355" max="14358" width="0" style="162" hidden="1" customWidth="1"/>
    <col min="14359" max="14359" width="8.42578125" style="162" customWidth="1"/>
    <col min="14360" max="14360" width="9.140625" style="162"/>
    <col min="14361" max="14361" width="5" style="162" customWidth="1"/>
    <col min="14362" max="14362" width="7.28515625" style="162" customWidth="1"/>
    <col min="14363" max="14364" width="0" style="162" hidden="1" customWidth="1"/>
    <col min="14365" max="14365" width="3.42578125" style="162" customWidth="1"/>
    <col min="14366" max="14366" width="13.85546875" style="162" customWidth="1"/>
    <col min="14367" max="14367" width="11.28515625" style="162" customWidth="1"/>
    <col min="14368" max="14368" width="12.5703125" style="162" customWidth="1"/>
    <col min="14369" max="14369" width="15.7109375" style="162" customWidth="1"/>
    <col min="14370" max="14370" width="14.5703125" style="162" customWidth="1"/>
    <col min="14371" max="14371" width="13.85546875" style="162" customWidth="1"/>
    <col min="14372" max="14372" width="12.140625" style="162" customWidth="1"/>
    <col min="14373" max="14592" width="9.140625" style="162"/>
    <col min="14593" max="14593" width="2.7109375" style="162" customWidth="1"/>
    <col min="14594" max="14594" width="16.140625" style="162" customWidth="1"/>
    <col min="14595" max="14595" width="10.28515625" style="162" customWidth="1"/>
    <col min="14596" max="14599" width="11.140625" style="162" customWidth="1"/>
    <col min="14600" max="14600" width="2" style="162" customWidth="1"/>
    <col min="14601" max="14601" width="9.28515625" style="162" bestFit="1" customWidth="1"/>
    <col min="14602" max="14602" width="4.5703125" style="162" customWidth="1"/>
    <col min="14603" max="14603" width="9.28515625" style="162" bestFit="1" customWidth="1"/>
    <col min="14604" max="14604" width="4.5703125" style="162" customWidth="1"/>
    <col min="14605" max="14605" width="12.140625" style="162" bestFit="1" customWidth="1"/>
    <col min="14606" max="14606" width="6.85546875" style="162" customWidth="1"/>
    <col min="14607" max="14607" width="9.7109375" style="162" bestFit="1" customWidth="1"/>
    <col min="14608" max="14608" width="2.85546875" style="162" customWidth="1"/>
    <col min="14609" max="14609" width="2.28515625" style="162" customWidth="1"/>
    <col min="14610" max="14610" width="6.140625" style="162" customWidth="1"/>
    <col min="14611" max="14614" width="0" style="162" hidden="1" customWidth="1"/>
    <col min="14615" max="14615" width="8.42578125" style="162" customWidth="1"/>
    <col min="14616" max="14616" width="9.140625" style="162"/>
    <col min="14617" max="14617" width="5" style="162" customWidth="1"/>
    <col min="14618" max="14618" width="7.28515625" style="162" customWidth="1"/>
    <col min="14619" max="14620" width="0" style="162" hidden="1" customWidth="1"/>
    <col min="14621" max="14621" width="3.42578125" style="162" customWidth="1"/>
    <col min="14622" max="14622" width="13.85546875" style="162" customWidth="1"/>
    <col min="14623" max="14623" width="11.28515625" style="162" customWidth="1"/>
    <col min="14624" max="14624" width="12.5703125" style="162" customWidth="1"/>
    <col min="14625" max="14625" width="15.7109375" style="162" customWidth="1"/>
    <col min="14626" max="14626" width="14.5703125" style="162" customWidth="1"/>
    <col min="14627" max="14627" width="13.85546875" style="162" customWidth="1"/>
    <col min="14628" max="14628" width="12.140625" style="162" customWidth="1"/>
    <col min="14629" max="14848" width="9.140625" style="162"/>
    <col min="14849" max="14849" width="2.7109375" style="162" customWidth="1"/>
    <col min="14850" max="14850" width="16.140625" style="162" customWidth="1"/>
    <col min="14851" max="14851" width="10.28515625" style="162" customWidth="1"/>
    <col min="14852" max="14855" width="11.140625" style="162" customWidth="1"/>
    <col min="14856" max="14856" width="2" style="162" customWidth="1"/>
    <col min="14857" max="14857" width="9.28515625" style="162" bestFit="1" customWidth="1"/>
    <col min="14858" max="14858" width="4.5703125" style="162" customWidth="1"/>
    <col min="14859" max="14859" width="9.28515625" style="162" bestFit="1" customWidth="1"/>
    <col min="14860" max="14860" width="4.5703125" style="162" customWidth="1"/>
    <col min="14861" max="14861" width="12.140625" style="162" bestFit="1" customWidth="1"/>
    <col min="14862" max="14862" width="6.85546875" style="162" customWidth="1"/>
    <col min="14863" max="14863" width="9.7109375" style="162" bestFit="1" customWidth="1"/>
    <col min="14864" max="14864" width="2.85546875" style="162" customWidth="1"/>
    <col min="14865" max="14865" width="2.28515625" style="162" customWidth="1"/>
    <col min="14866" max="14866" width="6.140625" style="162" customWidth="1"/>
    <col min="14867" max="14870" width="0" style="162" hidden="1" customWidth="1"/>
    <col min="14871" max="14871" width="8.42578125" style="162" customWidth="1"/>
    <col min="14872" max="14872" width="9.140625" style="162"/>
    <col min="14873" max="14873" width="5" style="162" customWidth="1"/>
    <col min="14874" max="14874" width="7.28515625" style="162" customWidth="1"/>
    <col min="14875" max="14876" width="0" style="162" hidden="1" customWidth="1"/>
    <col min="14877" max="14877" width="3.42578125" style="162" customWidth="1"/>
    <col min="14878" max="14878" width="13.85546875" style="162" customWidth="1"/>
    <col min="14879" max="14879" width="11.28515625" style="162" customWidth="1"/>
    <col min="14880" max="14880" width="12.5703125" style="162" customWidth="1"/>
    <col min="14881" max="14881" width="15.7109375" style="162" customWidth="1"/>
    <col min="14882" max="14882" width="14.5703125" style="162" customWidth="1"/>
    <col min="14883" max="14883" width="13.85546875" style="162" customWidth="1"/>
    <col min="14884" max="14884" width="12.140625" style="162" customWidth="1"/>
    <col min="14885" max="15104" width="9.140625" style="162"/>
    <col min="15105" max="15105" width="2.7109375" style="162" customWidth="1"/>
    <col min="15106" max="15106" width="16.140625" style="162" customWidth="1"/>
    <col min="15107" max="15107" width="10.28515625" style="162" customWidth="1"/>
    <col min="15108" max="15111" width="11.140625" style="162" customWidth="1"/>
    <col min="15112" max="15112" width="2" style="162" customWidth="1"/>
    <col min="15113" max="15113" width="9.28515625" style="162" bestFit="1" customWidth="1"/>
    <col min="15114" max="15114" width="4.5703125" style="162" customWidth="1"/>
    <col min="15115" max="15115" width="9.28515625" style="162" bestFit="1" customWidth="1"/>
    <col min="15116" max="15116" width="4.5703125" style="162" customWidth="1"/>
    <col min="15117" max="15117" width="12.140625" style="162" bestFit="1" customWidth="1"/>
    <col min="15118" max="15118" width="6.85546875" style="162" customWidth="1"/>
    <col min="15119" max="15119" width="9.7109375" style="162" bestFit="1" customWidth="1"/>
    <col min="15120" max="15120" width="2.85546875" style="162" customWidth="1"/>
    <col min="15121" max="15121" width="2.28515625" style="162" customWidth="1"/>
    <col min="15122" max="15122" width="6.140625" style="162" customWidth="1"/>
    <col min="15123" max="15126" width="0" style="162" hidden="1" customWidth="1"/>
    <col min="15127" max="15127" width="8.42578125" style="162" customWidth="1"/>
    <col min="15128" max="15128" width="9.140625" style="162"/>
    <col min="15129" max="15129" width="5" style="162" customWidth="1"/>
    <col min="15130" max="15130" width="7.28515625" style="162" customWidth="1"/>
    <col min="15131" max="15132" width="0" style="162" hidden="1" customWidth="1"/>
    <col min="15133" max="15133" width="3.42578125" style="162" customWidth="1"/>
    <col min="15134" max="15134" width="13.85546875" style="162" customWidth="1"/>
    <col min="15135" max="15135" width="11.28515625" style="162" customWidth="1"/>
    <col min="15136" max="15136" width="12.5703125" style="162" customWidth="1"/>
    <col min="15137" max="15137" width="15.7109375" style="162" customWidth="1"/>
    <col min="15138" max="15138" width="14.5703125" style="162" customWidth="1"/>
    <col min="15139" max="15139" width="13.85546875" style="162" customWidth="1"/>
    <col min="15140" max="15140" width="12.140625" style="162" customWidth="1"/>
    <col min="15141" max="15360" width="9.140625" style="162"/>
    <col min="15361" max="15361" width="2.7109375" style="162" customWidth="1"/>
    <col min="15362" max="15362" width="16.140625" style="162" customWidth="1"/>
    <col min="15363" max="15363" width="10.28515625" style="162" customWidth="1"/>
    <col min="15364" max="15367" width="11.140625" style="162" customWidth="1"/>
    <col min="15368" max="15368" width="2" style="162" customWidth="1"/>
    <col min="15369" max="15369" width="9.28515625" style="162" bestFit="1" customWidth="1"/>
    <col min="15370" max="15370" width="4.5703125" style="162" customWidth="1"/>
    <col min="15371" max="15371" width="9.28515625" style="162" bestFit="1" customWidth="1"/>
    <col min="15372" max="15372" width="4.5703125" style="162" customWidth="1"/>
    <col min="15373" max="15373" width="12.140625" style="162" bestFit="1" customWidth="1"/>
    <col min="15374" max="15374" width="6.85546875" style="162" customWidth="1"/>
    <col min="15375" max="15375" width="9.7109375" style="162" bestFit="1" customWidth="1"/>
    <col min="15376" max="15376" width="2.85546875" style="162" customWidth="1"/>
    <col min="15377" max="15377" width="2.28515625" style="162" customWidth="1"/>
    <col min="15378" max="15378" width="6.140625" style="162" customWidth="1"/>
    <col min="15379" max="15382" width="0" style="162" hidden="1" customWidth="1"/>
    <col min="15383" max="15383" width="8.42578125" style="162" customWidth="1"/>
    <col min="15384" max="15384" width="9.140625" style="162"/>
    <col min="15385" max="15385" width="5" style="162" customWidth="1"/>
    <col min="15386" max="15386" width="7.28515625" style="162" customWidth="1"/>
    <col min="15387" max="15388" width="0" style="162" hidden="1" customWidth="1"/>
    <col min="15389" max="15389" width="3.42578125" style="162" customWidth="1"/>
    <col min="15390" max="15390" width="13.85546875" style="162" customWidth="1"/>
    <col min="15391" max="15391" width="11.28515625" style="162" customWidth="1"/>
    <col min="15392" max="15392" width="12.5703125" style="162" customWidth="1"/>
    <col min="15393" max="15393" width="15.7109375" style="162" customWidth="1"/>
    <col min="15394" max="15394" width="14.5703125" style="162" customWidth="1"/>
    <col min="15395" max="15395" width="13.85546875" style="162" customWidth="1"/>
    <col min="15396" max="15396" width="12.140625" style="162" customWidth="1"/>
    <col min="15397" max="15616" width="9.140625" style="162"/>
    <col min="15617" max="15617" width="2.7109375" style="162" customWidth="1"/>
    <col min="15618" max="15618" width="16.140625" style="162" customWidth="1"/>
    <col min="15619" max="15619" width="10.28515625" style="162" customWidth="1"/>
    <col min="15620" max="15623" width="11.140625" style="162" customWidth="1"/>
    <col min="15624" max="15624" width="2" style="162" customWidth="1"/>
    <col min="15625" max="15625" width="9.28515625" style="162" bestFit="1" customWidth="1"/>
    <col min="15626" max="15626" width="4.5703125" style="162" customWidth="1"/>
    <col min="15627" max="15627" width="9.28515625" style="162" bestFit="1" customWidth="1"/>
    <col min="15628" max="15628" width="4.5703125" style="162" customWidth="1"/>
    <col min="15629" max="15629" width="12.140625" style="162" bestFit="1" customWidth="1"/>
    <col min="15630" max="15630" width="6.85546875" style="162" customWidth="1"/>
    <col min="15631" max="15631" width="9.7109375" style="162" bestFit="1" customWidth="1"/>
    <col min="15632" max="15632" width="2.85546875" style="162" customWidth="1"/>
    <col min="15633" max="15633" width="2.28515625" style="162" customWidth="1"/>
    <col min="15634" max="15634" width="6.140625" style="162" customWidth="1"/>
    <col min="15635" max="15638" width="0" style="162" hidden="1" customWidth="1"/>
    <col min="15639" max="15639" width="8.42578125" style="162" customWidth="1"/>
    <col min="15640" max="15640" width="9.140625" style="162"/>
    <col min="15641" max="15641" width="5" style="162" customWidth="1"/>
    <col min="15642" max="15642" width="7.28515625" style="162" customWidth="1"/>
    <col min="15643" max="15644" width="0" style="162" hidden="1" customWidth="1"/>
    <col min="15645" max="15645" width="3.42578125" style="162" customWidth="1"/>
    <col min="15646" max="15646" width="13.85546875" style="162" customWidth="1"/>
    <col min="15647" max="15647" width="11.28515625" style="162" customWidth="1"/>
    <col min="15648" max="15648" width="12.5703125" style="162" customWidth="1"/>
    <col min="15649" max="15649" width="15.7109375" style="162" customWidth="1"/>
    <col min="15650" max="15650" width="14.5703125" style="162" customWidth="1"/>
    <col min="15651" max="15651" width="13.85546875" style="162" customWidth="1"/>
    <col min="15652" max="15652" width="12.140625" style="162" customWidth="1"/>
    <col min="15653" max="15872" width="9.140625" style="162"/>
    <col min="15873" max="15873" width="2.7109375" style="162" customWidth="1"/>
    <col min="15874" max="15874" width="16.140625" style="162" customWidth="1"/>
    <col min="15875" max="15875" width="10.28515625" style="162" customWidth="1"/>
    <col min="15876" max="15879" width="11.140625" style="162" customWidth="1"/>
    <col min="15880" max="15880" width="2" style="162" customWidth="1"/>
    <col min="15881" max="15881" width="9.28515625" style="162" bestFit="1" customWidth="1"/>
    <col min="15882" max="15882" width="4.5703125" style="162" customWidth="1"/>
    <col min="15883" max="15883" width="9.28515625" style="162" bestFit="1" customWidth="1"/>
    <col min="15884" max="15884" width="4.5703125" style="162" customWidth="1"/>
    <col min="15885" max="15885" width="12.140625" style="162" bestFit="1" customWidth="1"/>
    <col min="15886" max="15886" width="6.85546875" style="162" customWidth="1"/>
    <col min="15887" max="15887" width="9.7109375" style="162" bestFit="1" customWidth="1"/>
    <col min="15888" max="15888" width="2.85546875" style="162" customWidth="1"/>
    <col min="15889" max="15889" width="2.28515625" style="162" customWidth="1"/>
    <col min="15890" max="15890" width="6.140625" style="162" customWidth="1"/>
    <col min="15891" max="15894" width="0" style="162" hidden="1" customWidth="1"/>
    <col min="15895" max="15895" width="8.42578125" style="162" customWidth="1"/>
    <col min="15896" max="15896" width="9.140625" style="162"/>
    <col min="15897" max="15897" width="5" style="162" customWidth="1"/>
    <col min="15898" max="15898" width="7.28515625" style="162" customWidth="1"/>
    <col min="15899" max="15900" width="0" style="162" hidden="1" customWidth="1"/>
    <col min="15901" max="15901" width="3.42578125" style="162" customWidth="1"/>
    <col min="15902" max="15902" width="13.85546875" style="162" customWidth="1"/>
    <col min="15903" max="15903" width="11.28515625" style="162" customWidth="1"/>
    <col min="15904" max="15904" width="12.5703125" style="162" customWidth="1"/>
    <col min="15905" max="15905" width="15.7109375" style="162" customWidth="1"/>
    <col min="15906" max="15906" width="14.5703125" style="162" customWidth="1"/>
    <col min="15907" max="15907" width="13.85546875" style="162" customWidth="1"/>
    <col min="15908" max="15908" width="12.140625" style="162" customWidth="1"/>
    <col min="15909" max="16128" width="9.140625" style="162"/>
    <col min="16129" max="16129" width="2.7109375" style="162" customWidth="1"/>
    <col min="16130" max="16130" width="16.140625" style="162" customWidth="1"/>
    <col min="16131" max="16131" width="10.28515625" style="162" customWidth="1"/>
    <col min="16132" max="16135" width="11.140625" style="162" customWidth="1"/>
    <col min="16136" max="16136" width="2" style="162" customWidth="1"/>
    <col min="16137" max="16137" width="9.28515625" style="162" bestFit="1" customWidth="1"/>
    <col min="16138" max="16138" width="4.5703125" style="162" customWidth="1"/>
    <col min="16139" max="16139" width="9.28515625" style="162" bestFit="1" customWidth="1"/>
    <col min="16140" max="16140" width="4.5703125" style="162" customWidth="1"/>
    <col min="16141" max="16141" width="12.140625" style="162" bestFit="1" customWidth="1"/>
    <col min="16142" max="16142" width="6.85546875" style="162" customWidth="1"/>
    <col min="16143" max="16143" width="9.7109375" style="162" bestFit="1" customWidth="1"/>
    <col min="16144" max="16144" width="2.85546875" style="162" customWidth="1"/>
    <col min="16145" max="16145" width="2.28515625" style="162" customWidth="1"/>
    <col min="16146" max="16146" width="6.140625" style="162" customWidth="1"/>
    <col min="16147" max="16150" width="0" style="162" hidden="1" customWidth="1"/>
    <col min="16151" max="16151" width="8.42578125" style="162" customWidth="1"/>
    <col min="16152" max="16152" width="9.140625" style="162"/>
    <col min="16153" max="16153" width="5" style="162" customWidth="1"/>
    <col min="16154" max="16154" width="7.28515625" style="162" customWidth="1"/>
    <col min="16155" max="16156" width="0" style="162" hidden="1" customWidth="1"/>
    <col min="16157" max="16157" width="3.42578125" style="162" customWidth="1"/>
    <col min="16158" max="16158" width="13.85546875" style="162" customWidth="1"/>
    <col min="16159" max="16159" width="11.28515625" style="162" customWidth="1"/>
    <col min="16160" max="16160" width="12.5703125" style="162" customWidth="1"/>
    <col min="16161" max="16161" width="15.7109375" style="162" customWidth="1"/>
    <col min="16162" max="16162" width="14.5703125" style="162" customWidth="1"/>
    <col min="16163" max="16163" width="13.85546875" style="162" customWidth="1"/>
    <col min="16164" max="16164" width="12.140625" style="162" customWidth="1"/>
    <col min="16165" max="16384" width="9.140625" style="162"/>
  </cols>
  <sheetData>
    <row r="2" spans="2:40" x14ac:dyDescent="0.2">
      <c r="C2" s="220"/>
      <c r="D2" s="221"/>
      <c r="E2" s="221"/>
      <c r="F2" s="221"/>
      <c r="G2" s="221"/>
      <c r="H2" s="221"/>
      <c r="I2" s="809"/>
      <c r="J2" s="809"/>
      <c r="K2" s="809"/>
      <c r="L2" s="809"/>
      <c r="M2" s="809"/>
      <c r="N2" s="809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</row>
    <row r="3" spans="2:40" x14ac:dyDescent="0.2">
      <c r="C3" s="810"/>
      <c r="D3" s="810"/>
      <c r="E3" s="221"/>
      <c r="F3" s="221"/>
      <c r="G3" s="221"/>
      <c r="H3" s="221"/>
      <c r="I3" s="811"/>
      <c r="J3" s="811"/>
      <c r="K3" s="811"/>
      <c r="L3" s="811"/>
      <c r="M3" s="811"/>
      <c r="N3" s="811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</row>
    <row r="4" spans="2:40" ht="20.25" customHeight="1" x14ac:dyDescent="0.3">
      <c r="C4" s="812" t="s">
        <v>80</v>
      </c>
      <c r="D4" s="812"/>
      <c r="E4" s="812"/>
      <c r="F4" s="812"/>
      <c r="G4" s="812"/>
      <c r="H4" s="223"/>
      <c r="I4" s="161"/>
      <c r="J4" s="161"/>
      <c r="K4" s="161"/>
      <c r="L4" s="161"/>
      <c r="M4" s="161"/>
      <c r="N4" s="161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</row>
    <row r="5" spans="2:40" x14ac:dyDescent="0.2">
      <c r="C5" s="813" t="s">
        <v>492</v>
      </c>
      <c r="D5" s="813"/>
      <c r="E5" s="813"/>
      <c r="F5" s="813"/>
      <c r="G5" s="813"/>
      <c r="H5" s="224"/>
      <c r="I5" s="814" t="s">
        <v>103</v>
      </c>
      <c r="J5" s="814"/>
      <c r="K5" s="814"/>
      <c r="L5" s="814"/>
      <c r="M5" s="814"/>
      <c r="N5" s="814"/>
      <c r="O5" s="814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</row>
    <row r="6" spans="2:40" x14ac:dyDescent="0.2">
      <c r="B6" s="162" t="s">
        <v>82</v>
      </c>
      <c r="C6" s="220" t="s">
        <v>55</v>
      </c>
      <c r="D6" s="220" t="s">
        <v>83</v>
      </c>
      <c r="E6" s="220" t="s">
        <v>84</v>
      </c>
      <c r="F6" s="220" t="s">
        <v>77</v>
      </c>
      <c r="G6" s="220" t="s">
        <v>53</v>
      </c>
      <c r="H6" s="220"/>
      <c r="I6" s="814"/>
      <c r="J6" s="814"/>
      <c r="K6" s="814"/>
      <c r="L6" s="814"/>
      <c r="M6" s="814"/>
      <c r="N6" s="814"/>
      <c r="O6" s="814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</row>
    <row r="7" spans="2:40" x14ac:dyDescent="0.2">
      <c r="B7" s="225" t="str">
        <f>IF(AC7="","",AC7)</f>
        <v/>
      </c>
      <c r="C7" s="211">
        <v>50</v>
      </c>
      <c r="D7" s="212" t="s">
        <v>86</v>
      </c>
      <c r="E7" s="212">
        <v>50</v>
      </c>
      <c r="F7" s="212">
        <v>200</v>
      </c>
      <c r="G7" s="213">
        <f>0.001*E7*F7</f>
        <v>10</v>
      </c>
      <c r="H7" s="220"/>
      <c r="I7" s="226"/>
      <c r="J7" s="227"/>
      <c r="K7" s="228"/>
      <c r="L7" s="227"/>
      <c r="M7" s="228"/>
      <c r="N7" s="227"/>
      <c r="O7" s="227"/>
      <c r="P7" s="227"/>
      <c r="Q7" s="227"/>
      <c r="R7" s="227"/>
      <c r="S7" s="226"/>
      <c r="T7" s="227"/>
      <c r="U7" s="227"/>
      <c r="V7" s="227"/>
      <c r="W7" s="228"/>
      <c r="X7" s="227"/>
      <c r="Y7" s="228"/>
      <c r="Z7" s="227"/>
      <c r="AA7" s="227"/>
      <c r="AB7" s="227"/>
      <c r="AC7" s="229"/>
      <c r="AD7" s="227"/>
      <c r="AE7" s="230"/>
      <c r="AF7" s="543"/>
      <c r="AG7" s="227"/>
      <c r="AH7" s="227"/>
      <c r="AI7" s="227"/>
      <c r="AJ7" s="227"/>
      <c r="AK7" s="227"/>
      <c r="AL7" s="227"/>
      <c r="AM7" s="227"/>
      <c r="AN7" s="227"/>
    </row>
    <row r="8" spans="2:40" x14ac:dyDescent="0.2">
      <c r="B8" s="225" t="str">
        <f t="shared" ref="B8:B43" si="0">IF(AC8="","",AC8)</f>
        <v/>
      </c>
      <c r="C8" s="211">
        <v>60</v>
      </c>
      <c r="D8" s="214" t="s">
        <v>86</v>
      </c>
      <c r="E8" s="215">
        <v>50</v>
      </c>
      <c r="F8" s="215">
        <v>200</v>
      </c>
      <c r="G8" s="216">
        <f t="shared" ref="G8:G23" si="1">0.001*E8*F8</f>
        <v>10</v>
      </c>
      <c r="H8" s="220"/>
      <c r="I8" s="226"/>
      <c r="J8" s="227"/>
      <c r="K8" s="228"/>
      <c r="L8" s="227"/>
      <c r="M8" s="228"/>
      <c r="N8" s="227"/>
      <c r="O8" s="227"/>
      <c r="P8" s="227"/>
      <c r="Q8" s="227"/>
      <c r="R8" s="227"/>
      <c r="S8" s="226"/>
      <c r="T8" s="227"/>
      <c r="U8" s="227"/>
      <c r="V8" s="227"/>
      <c r="W8" s="228"/>
      <c r="X8" s="227"/>
      <c r="Y8" s="228"/>
      <c r="Z8" s="227"/>
      <c r="AA8" s="227"/>
      <c r="AB8" s="227"/>
      <c r="AC8" s="229"/>
      <c r="AD8" s="227"/>
      <c r="AE8" s="230"/>
      <c r="AF8" s="543"/>
      <c r="AG8" s="227"/>
      <c r="AH8" s="227"/>
      <c r="AI8" s="227"/>
      <c r="AJ8" s="227"/>
      <c r="AK8" s="227"/>
      <c r="AL8" s="227"/>
      <c r="AM8" s="227"/>
      <c r="AN8" s="227"/>
    </row>
    <row r="9" spans="2:40" x14ac:dyDescent="0.2">
      <c r="B9" s="225" t="str">
        <f t="shared" si="0"/>
        <v/>
      </c>
      <c r="C9" s="211">
        <v>70</v>
      </c>
      <c r="D9" s="214" t="s">
        <v>86</v>
      </c>
      <c r="E9" s="215">
        <v>50</v>
      </c>
      <c r="F9" s="215">
        <v>200</v>
      </c>
      <c r="G9" s="216">
        <f t="shared" si="1"/>
        <v>10</v>
      </c>
      <c r="H9" s="220"/>
      <c r="I9" s="226"/>
      <c r="J9" s="227"/>
      <c r="K9" s="228"/>
      <c r="L9" s="227"/>
      <c r="M9" s="228"/>
      <c r="N9" s="227"/>
      <c r="O9" s="227"/>
      <c r="P9" s="227"/>
      <c r="Q9" s="227"/>
      <c r="R9" s="227"/>
      <c r="S9" s="226"/>
      <c r="T9" s="227"/>
      <c r="U9" s="227"/>
      <c r="V9" s="227"/>
      <c r="W9" s="228"/>
      <c r="X9" s="227"/>
      <c r="Y9" s="228"/>
      <c r="Z9" s="227"/>
      <c r="AA9" s="227"/>
      <c r="AB9" s="227"/>
      <c r="AC9" s="229"/>
      <c r="AD9" s="227"/>
      <c r="AE9" s="230"/>
      <c r="AF9" s="543"/>
      <c r="AG9" s="227"/>
      <c r="AH9" s="227"/>
      <c r="AI9" s="227"/>
      <c r="AJ9" s="227"/>
      <c r="AK9" s="227"/>
      <c r="AL9" s="227"/>
      <c r="AM9" s="227"/>
      <c r="AN9" s="227"/>
    </row>
    <row r="10" spans="2:40" x14ac:dyDescent="0.2">
      <c r="B10" s="225" t="str">
        <f t="shared" si="0"/>
        <v/>
      </c>
      <c r="C10" s="211">
        <v>70</v>
      </c>
      <c r="D10" s="214" t="s">
        <v>86</v>
      </c>
      <c r="E10" s="215">
        <v>50</v>
      </c>
      <c r="F10" s="215">
        <v>200</v>
      </c>
      <c r="G10" s="216">
        <f t="shared" si="1"/>
        <v>10</v>
      </c>
      <c r="H10" s="220"/>
      <c r="I10" s="226"/>
      <c r="J10" s="227"/>
      <c r="K10" s="228"/>
      <c r="L10" s="227"/>
      <c r="M10" s="228"/>
      <c r="N10" s="227"/>
      <c r="O10" s="227"/>
      <c r="P10" s="227"/>
      <c r="Q10" s="227"/>
      <c r="R10" s="227"/>
      <c r="S10" s="226"/>
      <c r="T10" s="227"/>
      <c r="U10" s="227"/>
      <c r="V10" s="227"/>
      <c r="W10" s="228"/>
      <c r="X10" s="227"/>
      <c r="Y10" s="228"/>
      <c r="Z10" s="227"/>
      <c r="AA10" s="227"/>
      <c r="AB10" s="227"/>
      <c r="AC10" s="229"/>
      <c r="AD10" s="227"/>
      <c r="AE10" s="230"/>
      <c r="AF10" s="543"/>
      <c r="AG10" s="227"/>
      <c r="AH10" s="227"/>
      <c r="AI10" s="227"/>
      <c r="AJ10" s="227"/>
      <c r="AK10" s="227"/>
      <c r="AL10" s="227"/>
      <c r="AM10" s="227"/>
      <c r="AN10" s="227"/>
    </row>
    <row r="11" spans="2:40" x14ac:dyDescent="0.2">
      <c r="B11" s="225" t="str">
        <f t="shared" si="0"/>
        <v/>
      </c>
      <c r="C11" s="211">
        <v>81</v>
      </c>
      <c r="D11" s="214" t="s">
        <v>86</v>
      </c>
      <c r="E11" s="215">
        <v>50</v>
      </c>
      <c r="F11" s="215">
        <v>200</v>
      </c>
      <c r="G11" s="216">
        <f t="shared" si="1"/>
        <v>10</v>
      </c>
      <c r="H11" s="220"/>
      <c r="I11" s="226"/>
      <c r="J11" s="227"/>
      <c r="K11" s="228"/>
      <c r="L11" s="227"/>
      <c r="M11" s="228"/>
      <c r="N11" s="227"/>
      <c r="O11" s="227"/>
      <c r="P11" s="227"/>
      <c r="Q11" s="227"/>
      <c r="R11" s="227"/>
      <c r="S11" s="226"/>
      <c r="T11" s="227"/>
      <c r="U11" s="227"/>
      <c r="V11" s="227"/>
      <c r="W11" s="228"/>
      <c r="X11" s="227"/>
      <c r="Y11" s="228"/>
      <c r="Z11" s="227"/>
      <c r="AA11" s="227"/>
      <c r="AB11" s="227"/>
      <c r="AC11" s="229"/>
      <c r="AD11" s="227"/>
      <c r="AE11" s="230"/>
      <c r="AF11" s="543"/>
      <c r="AG11" s="227"/>
      <c r="AH11" s="227"/>
      <c r="AI11" s="227"/>
      <c r="AJ11" s="227"/>
      <c r="AK11" s="227"/>
      <c r="AL11" s="227"/>
      <c r="AM11" s="227"/>
      <c r="AN11" s="227"/>
    </row>
    <row r="12" spans="2:40" x14ac:dyDescent="0.2">
      <c r="B12" s="225" t="str">
        <f t="shared" si="0"/>
        <v/>
      </c>
      <c r="C12" s="217">
        <v>81</v>
      </c>
      <c r="D12" s="214" t="s">
        <v>86</v>
      </c>
      <c r="E12" s="215">
        <v>50</v>
      </c>
      <c r="F12" s="215">
        <v>200</v>
      </c>
      <c r="G12" s="216">
        <f t="shared" si="1"/>
        <v>10</v>
      </c>
      <c r="H12" s="220"/>
      <c r="I12" s="231"/>
      <c r="J12" s="227"/>
      <c r="K12" s="228"/>
      <c r="L12" s="227"/>
      <c r="M12" s="228"/>
      <c r="N12" s="227"/>
      <c r="O12" s="227"/>
      <c r="P12" s="227"/>
      <c r="Q12" s="227"/>
      <c r="R12" s="227"/>
      <c r="S12" s="226"/>
      <c r="T12" s="227"/>
      <c r="U12" s="227"/>
      <c r="V12" s="227"/>
      <c r="W12" s="228"/>
      <c r="X12" s="227"/>
      <c r="Y12" s="228"/>
      <c r="Z12" s="227"/>
      <c r="AA12" s="227"/>
      <c r="AB12" s="227"/>
      <c r="AC12" s="229"/>
      <c r="AD12" s="227"/>
      <c r="AE12" s="230"/>
      <c r="AF12" s="543"/>
      <c r="AG12" s="227"/>
      <c r="AH12" s="227"/>
      <c r="AI12" s="227"/>
      <c r="AJ12" s="227"/>
      <c r="AK12" s="227"/>
      <c r="AL12" s="227"/>
      <c r="AM12" s="227"/>
      <c r="AN12" s="227"/>
    </row>
    <row r="13" spans="2:40" x14ac:dyDescent="0.2">
      <c r="B13" s="225" t="str">
        <f t="shared" si="0"/>
        <v/>
      </c>
      <c r="C13" s="217">
        <v>81</v>
      </c>
      <c r="D13" s="214" t="s">
        <v>86</v>
      </c>
      <c r="E13" s="215">
        <v>50</v>
      </c>
      <c r="F13" s="215">
        <v>200</v>
      </c>
      <c r="G13" s="216">
        <f t="shared" si="1"/>
        <v>10</v>
      </c>
      <c r="H13" s="220"/>
      <c r="I13" s="226"/>
      <c r="J13" s="227"/>
      <c r="K13" s="228"/>
      <c r="L13" s="227"/>
      <c r="M13" s="228"/>
      <c r="N13" s="227"/>
      <c r="O13" s="227"/>
      <c r="P13" s="227"/>
      <c r="Q13" s="227"/>
      <c r="R13" s="227"/>
      <c r="S13" s="226"/>
      <c r="T13" s="227"/>
      <c r="U13" s="227"/>
      <c r="V13" s="227"/>
      <c r="W13" s="228"/>
      <c r="X13" s="227"/>
      <c r="Y13" s="228"/>
      <c r="Z13" s="227"/>
      <c r="AA13" s="227"/>
      <c r="AB13" s="227"/>
      <c r="AC13" s="229"/>
      <c r="AD13" s="227"/>
      <c r="AE13" s="230"/>
      <c r="AF13" s="543"/>
      <c r="AG13" s="227"/>
      <c r="AH13" s="227"/>
      <c r="AI13" s="227"/>
      <c r="AJ13" s="227"/>
      <c r="AK13" s="227"/>
      <c r="AL13" s="227"/>
      <c r="AM13" s="227"/>
      <c r="AN13" s="227"/>
    </row>
    <row r="14" spans="2:40" x14ac:dyDescent="0.2">
      <c r="B14" s="225" t="str">
        <f t="shared" si="0"/>
        <v/>
      </c>
      <c r="C14" s="217">
        <v>81</v>
      </c>
      <c r="D14" s="214" t="s">
        <v>86</v>
      </c>
      <c r="E14" s="215">
        <v>50</v>
      </c>
      <c r="F14" s="215">
        <v>200</v>
      </c>
      <c r="G14" s="216">
        <f>0.001*E14*F14</f>
        <v>10</v>
      </c>
      <c r="H14" s="220"/>
      <c r="I14" s="226"/>
      <c r="J14" s="227"/>
      <c r="K14" s="228"/>
      <c r="L14" s="227"/>
      <c r="M14" s="228"/>
      <c r="N14" s="227"/>
      <c r="O14" s="227"/>
      <c r="P14" s="227"/>
      <c r="Q14" s="227"/>
      <c r="R14" s="227"/>
      <c r="S14" s="226"/>
      <c r="T14" s="227"/>
      <c r="U14" s="227"/>
      <c r="V14" s="227"/>
      <c r="W14" s="228"/>
      <c r="X14" s="227"/>
      <c r="Y14" s="228"/>
      <c r="Z14" s="227"/>
      <c r="AA14" s="227"/>
      <c r="AB14" s="227"/>
      <c r="AC14" s="229"/>
      <c r="AD14" s="227"/>
      <c r="AE14" s="230"/>
      <c r="AF14" s="543"/>
      <c r="AG14" s="227"/>
      <c r="AH14" s="227"/>
      <c r="AI14" s="227"/>
      <c r="AJ14" s="227"/>
      <c r="AK14" s="227"/>
      <c r="AL14" s="227"/>
      <c r="AM14" s="227"/>
      <c r="AN14" s="227"/>
    </row>
    <row r="15" spans="2:40" x14ac:dyDescent="0.2">
      <c r="B15" s="225" t="str">
        <f t="shared" si="0"/>
        <v/>
      </c>
      <c r="C15" s="211">
        <v>90</v>
      </c>
      <c r="D15" s="214" t="s">
        <v>86</v>
      </c>
      <c r="E15" s="215">
        <v>50</v>
      </c>
      <c r="F15" s="215">
        <v>200</v>
      </c>
      <c r="G15" s="216">
        <f t="shared" si="1"/>
        <v>10</v>
      </c>
      <c r="H15" s="220"/>
      <c r="I15" s="226"/>
      <c r="J15" s="227"/>
      <c r="K15" s="228"/>
      <c r="L15" s="227"/>
      <c r="M15" s="228"/>
      <c r="N15" s="227"/>
      <c r="O15" s="227"/>
      <c r="P15" s="227"/>
      <c r="Q15" s="227"/>
      <c r="R15" s="227"/>
      <c r="S15" s="226"/>
      <c r="T15" s="227"/>
      <c r="U15" s="227"/>
      <c r="V15" s="227"/>
      <c r="W15" s="228"/>
      <c r="X15" s="227"/>
      <c r="Y15" s="228"/>
      <c r="Z15" s="227"/>
      <c r="AA15" s="227"/>
      <c r="AB15" s="227"/>
      <c r="AC15" s="229"/>
      <c r="AD15" s="227"/>
      <c r="AE15" s="230"/>
      <c r="AF15" s="543"/>
      <c r="AG15" s="227"/>
      <c r="AH15" s="227"/>
      <c r="AI15" s="227"/>
      <c r="AJ15" s="227"/>
      <c r="AK15" s="227"/>
      <c r="AL15" s="227"/>
      <c r="AM15" s="227"/>
      <c r="AN15" s="227"/>
    </row>
    <row r="16" spans="2:40" x14ac:dyDescent="0.2">
      <c r="B16" s="225" t="str">
        <f t="shared" si="0"/>
        <v/>
      </c>
      <c r="C16" s="211">
        <v>109</v>
      </c>
      <c r="D16" s="214" t="s">
        <v>86</v>
      </c>
      <c r="E16" s="215">
        <v>50</v>
      </c>
      <c r="F16" s="215">
        <v>200</v>
      </c>
      <c r="G16" s="216">
        <f t="shared" si="1"/>
        <v>10</v>
      </c>
      <c r="H16" s="220"/>
      <c r="I16" s="226"/>
      <c r="J16" s="227"/>
      <c r="K16" s="228"/>
      <c r="L16" s="227"/>
      <c r="M16" s="228"/>
      <c r="N16" s="227"/>
      <c r="O16" s="227"/>
      <c r="P16" s="227"/>
      <c r="Q16" s="227"/>
      <c r="R16" s="227"/>
      <c r="S16" s="226"/>
      <c r="T16" s="227"/>
      <c r="U16" s="227"/>
      <c r="V16" s="227"/>
      <c r="W16" s="228"/>
      <c r="X16" s="227"/>
      <c r="Y16" s="228"/>
      <c r="Z16" s="227"/>
      <c r="AA16" s="227"/>
      <c r="AB16" s="227"/>
      <c r="AC16" s="229"/>
      <c r="AD16" s="227"/>
      <c r="AE16" s="230"/>
      <c r="AF16" s="543"/>
      <c r="AG16" s="227"/>
      <c r="AH16" s="227"/>
      <c r="AI16" s="227"/>
      <c r="AJ16" s="227"/>
      <c r="AK16" s="227"/>
      <c r="AL16" s="227"/>
      <c r="AM16" s="227"/>
      <c r="AN16" s="227"/>
    </row>
    <row r="17" spans="2:40" x14ac:dyDescent="0.2">
      <c r="B17" s="225" t="str">
        <f t="shared" si="0"/>
        <v/>
      </c>
      <c r="C17" s="211">
        <v>125</v>
      </c>
      <c r="D17" s="214" t="s">
        <v>86</v>
      </c>
      <c r="E17" s="215">
        <v>50</v>
      </c>
      <c r="F17" s="215">
        <v>200</v>
      </c>
      <c r="G17" s="216">
        <f t="shared" si="1"/>
        <v>10</v>
      </c>
      <c r="H17" s="220"/>
      <c r="I17" s="226"/>
      <c r="J17" s="227"/>
      <c r="K17" s="228"/>
      <c r="L17" s="227"/>
      <c r="M17" s="228"/>
      <c r="N17" s="227"/>
      <c r="O17" s="227"/>
      <c r="P17" s="227"/>
      <c r="Q17" s="227"/>
      <c r="R17" s="227"/>
      <c r="S17" s="226"/>
      <c r="T17" s="227"/>
      <c r="U17" s="227"/>
      <c r="V17" s="227"/>
      <c r="W17" s="228"/>
      <c r="X17" s="227"/>
      <c r="Y17" s="228"/>
      <c r="Z17" s="227"/>
      <c r="AA17" s="227"/>
      <c r="AB17" s="227"/>
      <c r="AC17" s="229"/>
      <c r="AD17" s="227"/>
      <c r="AE17" s="230"/>
      <c r="AF17" s="543"/>
      <c r="AG17" s="227"/>
      <c r="AH17" s="227"/>
      <c r="AI17" s="227"/>
      <c r="AJ17" s="227"/>
      <c r="AK17" s="227"/>
      <c r="AL17" s="227"/>
      <c r="AM17" s="227"/>
      <c r="AN17" s="227"/>
    </row>
    <row r="18" spans="2:40" x14ac:dyDescent="0.2">
      <c r="B18" s="225" t="str">
        <f t="shared" si="0"/>
        <v/>
      </c>
      <c r="C18" s="211">
        <v>81</v>
      </c>
      <c r="D18" s="214" t="s">
        <v>86</v>
      </c>
      <c r="E18" s="212">
        <v>400</v>
      </c>
      <c r="F18" s="215">
        <v>200</v>
      </c>
      <c r="G18" s="216">
        <f t="shared" si="1"/>
        <v>80</v>
      </c>
      <c r="H18" s="220"/>
      <c r="I18" s="226"/>
      <c r="J18" s="227"/>
      <c r="K18" s="228"/>
      <c r="L18" s="227"/>
      <c r="M18" s="228"/>
      <c r="N18" s="227"/>
      <c r="O18" s="227"/>
      <c r="P18" s="227"/>
      <c r="Q18" s="227"/>
      <c r="R18" s="227"/>
      <c r="S18" s="226"/>
      <c r="T18" s="227"/>
      <c r="U18" s="227"/>
      <c r="V18" s="227"/>
      <c r="W18" s="228"/>
      <c r="X18" s="227"/>
      <c r="Y18" s="228"/>
      <c r="Z18" s="227"/>
      <c r="AA18" s="227"/>
      <c r="AB18" s="227"/>
      <c r="AC18" s="229"/>
      <c r="AD18" s="227"/>
      <c r="AE18" s="230"/>
      <c r="AF18" s="543"/>
      <c r="AG18" s="227"/>
      <c r="AH18" s="227"/>
      <c r="AI18" s="227"/>
      <c r="AJ18" s="227"/>
      <c r="AK18" s="227"/>
      <c r="AL18" s="227"/>
      <c r="AM18" s="227"/>
      <c r="AN18" s="227"/>
    </row>
    <row r="19" spans="2:40" x14ac:dyDescent="0.2">
      <c r="B19" s="225" t="str">
        <f t="shared" si="0"/>
        <v/>
      </c>
      <c r="C19" s="217">
        <v>81</v>
      </c>
      <c r="D19" s="214" t="s">
        <v>86</v>
      </c>
      <c r="E19" s="212">
        <v>200</v>
      </c>
      <c r="F19" s="214">
        <v>200</v>
      </c>
      <c r="G19" s="216">
        <f t="shared" si="1"/>
        <v>40</v>
      </c>
      <c r="H19" s="220"/>
      <c r="I19" s="226"/>
      <c r="J19" s="232"/>
      <c r="K19" s="228"/>
      <c r="L19" s="233"/>
      <c r="M19" s="228"/>
      <c r="N19" s="227"/>
      <c r="O19" s="227"/>
      <c r="P19" s="227"/>
      <c r="Q19" s="227"/>
      <c r="R19" s="227"/>
      <c r="S19" s="227"/>
      <c r="T19" s="227"/>
      <c r="U19" s="227"/>
      <c r="V19" s="227"/>
      <c r="W19" s="228"/>
      <c r="X19" s="227"/>
      <c r="Y19" s="228"/>
      <c r="Z19" s="227"/>
      <c r="AA19" s="227"/>
      <c r="AB19" s="227"/>
      <c r="AC19" s="229"/>
      <c r="AD19" s="227"/>
      <c r="AE19" s="230"/>
      <c r="AF19" s="543"/>
      <c r="AG19" s="227"/>
      <c r="AH19" s="227"/>
      <c r="AI19" s="227"/>
      <c r="AJ19" s="227"/>
      <c r="AK19" s="227"/>
      <c r="AL19" s="227"/>
      <c r="AM19" s="227"/>
      <c r="AN19" s="227"/>
    </row>
    <row r="20" spans="2:40" x14ac:dyDescent="0.2">
      <c r="B20" s="225" t="str">
        <f t="shared" si="0"/>
        <v/>
      </c>
      <c r="C20" s="218">
        <v>81</v>
      </c>
      <c r="D20" s="214" t="s">
        <v>86</v>
      </c>
      <c r="E20" s="212">
        <v>100</v>
      </c>
      <c r="F20" s="214">
        <v>200</v>
      </c>
      <c r="G20" s="216">
        <f t="shared" si="1"/>
        <v>20</v>
      </c>
      <c r="H20" s="220"/>
      <c r="I20" s="226"/>
      <c r="J20" s="227"/>
      <c r="K20" s="228"/>
      <c r="L20" s="227"/>
      <c r="M20" s="228"/>
      <c r="N20" s="227"/>
      <c r="O20" s="227"/>
      <c r="P20" s="227"/>
      <c r="Q20" s="227"/>
      <c r="R20" s="227"/>
      <c r="S20" s="226"/>
      <c r="T20" s="227"/>
      <c r="U20" s="227"/>
      <c r="V20" s="227"/>
      <c r="W20" s="228"/>
      <c r="X20" s="227"/>
      <c r="Y20" s="228"/>
      <c r="Z20" s="227"/>
      <c r="AA20" s="227"/>
      <c r="AB20" s="227"/>
      <c r="AC20" s="229"/>
      <c r="AD20" s="227"/>
      <c r="AE20" s="230"/>
      <c r="AF20" s="543"/>
      <c r="AG20" s="227"/>
      <c r="AH20" s="227"/>
      <c r="AI20" s="227"/>
      <c r="AJ20" s="227"/>
      <c r="AK20" s="227"/>
      <c r="AL20" s="227"/>
      <c r="AM20" s="227"/>
      <c r="AN20" s="227"/>
    </row>
    <row r="21" spans="2:40" x14ac:dyDescent="0.2">
      <c r="B21" s="225" t="str">
        <f t="shared" si="0"/>
        <v/>
      </c>
      <c r="C21" s="217">
        <v>81</v>
      </c>
      <c r="D21" s="214" t="s">
        <v>86</v>
      </c>
      <c r="E21" s="212">
        <v>32</v>
      </c>
      <c r="F21" s="214">
        <v>200</v>
      </c>
      <c r="G21" s="216">
        <f t="shared" si="1"/>
        <v>6.4</v>
      </c>
      <c r="H21" s="220"/>
      <c r="I21" s="226"/>
      <c r="J21" s="227"/>
      <c r="K21" s="228"/>
      <c r="L21" s="227"/>
      <c r="M21" s="228"/>
      <c r="N21" s="227"/>
      <c r="O21" s="227"/>
      <c r="P21" s="227"/>
      <c r="Q21" s="227"/>
      <c r="R21" s="227"/>
      <c r="S21" s="226"/>
      <c r="T21" s="227"/>
      <c r="U21" s="227"/>
      <c r="V21" s="227"/>
      <c r="W21" s="228"/>
      <c r="X21" s="227"/>
      <c r="Y21" s="228"/>
      <c r="Z21" s="227"/>
      <c r="AA21" s="227"/>
      <c r="AB21" s="227"/>
      <c r="AC21" s="229"/>
      <c r="AD21" s="227"/>
      <c r="AE21" s="230"/>
      <c r="AF21" s="543"/>
      <c r="AG21" s="227"/>
      <c r="AH21" s="227"/>
      <c r="AI21" s="227"/>
      <c r="AJ21" s="227"/>
      <c r="AK21" s="227"/>
      <c r="AL21" s="227"/>
      <c r="AM21" s="227"/>
      <c r="AN21" s="227"/>
    </row>
    <row r="22" spans="2:40" x14ac:dyDescent="0.2">
      <c r="B22" s="225" t="str">
        <f t="shared" si="0"/>
        <v/>
      </c>
      <c r="C22" s="217">
        <v>81</v>
      </c>
      <c r="D22" s="214" t="s">
        <v>86</v>
      </c>
      <c r="E22" s="212">
        <v>50</v>
      </c>
      <c r="F22" s="212">
        <v>50</v>
      </c>
      <c r="G22" s="216">
        <f t="shared" si="1"/>
        <v>2.5</v>
      </c>
      <c r="H22" s="220"/>
      <c r="I22" s="226"/>
      <c r="J22" s="227"/>
      <c r="K22" s="228"/>
      <c r="L22" s="227"/>
      <c r="M22" s="228"/>
      <c r="N22" s="227"/>
      <c r="O22" s="227"/>
      <c r="P22" s="227"/>
      <c r="Q22" s="227"/>
      <c r="R22" s="227"/>
      <c r="S22" s="226"/>
      <c r="T22" s="227"/>
      <c r="U22" s="227"/>
      <c r="V22" s="227"/>
      <c r="W22" s="228"/>
      <c r="X22" s="227"/>
      <c r="Y22" s="228"/>
      <c r="Z22" s="227"/>
      <c r="AA22" s="227"/>
      <c r="AB22" s="227"/>
      <c r="AC22" s="229"/>
      <c r="AD22" s="227"/>
      <c r="AE22" s="230"/>
      <c r="AF22" s="543"/>
      <c r="AG22" s="227"/>
      <c r="AH22" s="227"/>
      <c r="AI22" s="227"/>
      <c r="AJ22" s="227"/>
      <c r="AK22" s="227"/>
      <c r="AL22" s="227"/>
      <c r="AM22" s="227"/>
      <c r="AN22" s="227"/>
    </row>
    <row r="23" spans="2:40" x14ac:dyDescent="0.2">
      <c r="B23" s="225" t="str">
        <f t="shared" si="0"/>
        <v/>
      </c>
      <c r="C23" s="217">
        <v>81</v>
      </c>
      <c r="D23" s="214" t="s">
        <v>86</v>
      </c>
      <c r="E23" s="214">
        <v>50</v>
      </c>
      <c r="F23" s="212">
        <v>100</v>
      </c>
      <c r="G23" s="216">
        <f t="shared" si="1"/>
        <v>5</v>
      </c>
      <c r="H23" s="220"/>
      <c r="I23" s="226"/>
      <c r="J23" s="227"/>
      <c r="K23" s="228"/>
      <c r="L23" s="227"/>
      <c r="M23" s="228"/>
      <c r="N23" s="227"/>
      <c r="O23" s="227"/>
      <c r="P23" s="227"/>
      <c r="Q23" s="227"/>
      <c r="R23" s="227"/>
      <c r="S23" s="226"/>
      <c r="T23" s="227"/>
      <c r="U23" s="227"/>
      <c r="V23" s="227"/>
      <c r="W23" s="228"/>
      <c r="X23" s="227"/>
      <c r="Y23" s="228"/>
      <c r="Z23" s="227"/>
      <c r="AA23" s="227"/>
      <c r="AB23" s="227"/>
      <c r="AC23" s="229"/>
      <c r="AD23" s="227"/>
      <c r="AE23" s="230"/>
      <c r="AF23" s="543"/>
      <c r="AG23" s="227"/>
      <c r="AH23" s="227"/>
      <c r="AI23" s="227"/>
      <c r="AJ23" s="227"/>
      <c r="AK23" s="227"/>
      <c r="AL23" s="227"/>
      <c r="AM23" s="227"/>
      <c r="AN23" s="227"/>
    </row>
    <row r="24" spans="2:40" x14ac:dyDescent="0.2">
      <c r="B24" s="225" t="str">
        <f t="shared" si="0"/>
        <v/>
      </c>
      <c r="C24" s="217">
        <v>81</v>
      </c>
      <c r="D24" s="214" t="s">
        <v>86</v>
      </c>
      <c r="E24" s="214">
        <v>50</v>
      </c>
      <c r="F24" s="212">
        <v>250</v>
      </c>
      <c r="G24" s="216">
        <f>0.001*E24*F24</f>
        <v>12.5</v>
      </c>
      <c r="H24" s="220"/>
      <c r="I24" s="226"/>
      <c r="J24" s="227"/>
      <c r="K24" s="228"/>
      <c r="L24" s="227"/>
      <c r="M24" s="228"/>
      <c r="N24" s="227"/>
      <c r="O24" s="227"/>
      <c r="P24" s="227"/>
      <c r="Q24" s="227"/>
      <c r="R24" s="227"/>
      <c r="S24" s="226"/>
      <c r="T24" s="227"/>
      <c r="U24" s="227"/>
      <c r="V24" s="227"/>
      <c r="W24" s="228"/>
      <c r="X24" s="227"/>
      <c r="Y24" s="228"/>
      <c r="Z24" s="227"/>
      <c r="AA24" s="227"/>
      <c r="AB24" s="227"/>
      <c r="AC24" s="229"/>
      <c r="AD24" s="227"/>
      <c r="AE24" s="230"/>
      <c r="AF24" s="543"/>
      <c r="AG24" s="227"/>
      <c r="AH24" s="227"/>
      <c r="AI24" s="227"/>
      <c r="AJ24" s="227"/>
      <c r="AK24" s="227"/>
      <c r="AL24" s="227"/>
      <c r="AM24" s="227"/>
      <c r="AN24" s="227"/>
    </row>
    <row r="25" spans="2:40" x14ac:dyDescent="0.2">
      <c r="B25" s="225" t="str">
        <f t="shared" si="0"/>
        <v/>
      </c>
      <c r="C25" s="211">
        <v>50</v>
      </c>
      <c r="D25" s="212" t="s">
        <v>87</v>
      </c>
      <c r="E25" s="215">
        <v>50</v>
      </c>
      <c r="F25" s="212">
        <v>200</v>
      </c>
      <c r="G25" s="216">
        <f>0.001*E25*F25</f>
        <v>10</v>
      </c>
      <c r="H25" s="220"/>
      <c r="I25" s="226"/>
      <c r="J25" s="227"/>
      <c r="K25" s="228"/>
      <c r="L25" s="227"/>
      <c r="M25" s="228"/>
      <c r="N25" s="227"/>
      <c r="O25" s="227"/>
      <c r="P25" s="227"/>
      <c r="Q25" s="227"/>
      <c r="R25" s="227"/>
      <c r="S25" s="226"/>
      <c r="T25" s="227"/>
      <c r="U25" s="227"/>
      <c r="V25" s="227"/>
      <c r="W25" s="228"/>
      <c r="X25" s="227"/>
      <c r="Y25" s="228"/>
      <c r="Z25" s="227"/>
      <c r="AA25" s="227"/>
      <c r="AB25" s="227"/>
      <c r="AC25" s="229"/>
      <c r="AD25" s="227"/>
      <c r="AE25" s="230"/>
      <c r="AF25" s="543"/>
      <c r="AG25" s="227"/>
      <c r="AH25" s="227"/>
      <c r="AI25" s="227"/>
      <c r="AJ25" s="227"/>
      <c r="AK25" s="227"/>
      <c r="AL25" s="227"/>
      <c r="AM25" s="227"/>
      <c r="AN25" s="227"/>
    </row>
    <row r="26" spans="2:40" x14ac:dyDescent="0.2">
      <c r="B26" s="225" t="str">
        <f t="shared" si="0"/>
        <v/>
      </c>
      <c r="C26" s="211">
        <v>60</v>
      </c>
      <c r="D26" s="214" t="s">
        <v>87</v>
      </c>
      <c r="E26" s="215">
        <v>50</v>
      </c>
      <c r="F26" s="215">
        <v>200</v>
      </c>
      <c r="G26" s="216">
        <f t="shared" ref="G26:G43" si="2">0.001*E26*F26</f>
        <v>10</v>
      </c>
      <c r="H26" s="220"/>
      <c r="I26" s="226"/>
      <c r="J26" s="227"/>
      <c r="K26" s="228"/>
      <c r="L26" s="227"/>
      <c r="M26" s="228"/>
      <c r="N26" s="227"/>
      <c r="O26" s="227"/>
      <c r="P26" s="227"/>
      <c r="Q26" s="227"/>
      <c r="R26" s="227"/>
      <c r="S26" s="226"/>
      <c r="T26" s="227"/>
      <c r="U26" s="227"/>
      <c r="V26" s="227"/>
      <c r="W26" s="228"/>
      <c r="X26" s="227"/>
      <c r="Y26" s="228"/>
      <c r="Z26" s="227"/>
      <c r="AA26" s="227"/>
      <c r="AB26" s="227"/>
      <c r="AC26" s="229"/>
      <c r="AD26" s="227"/>
      <c r="AE26" s="230"/>
      <c r="AF26" s="543"/>
      <c r="AG26" s="227"/>
      <c r="AH26" s="227"/>
      <c r="AI26" s="227"/>
      <c r="AJ26" s="227"/>
      <c r="AK26" s="227"/>
      <c r="AL26" s="227"/>
      <c r="AM26" s="227"/>
      <c r="AN26" s="227"/>
    </row>
    <row r="27" spans="2:40" x14ac:dyDescent="0.2">
      <c r="B27" s="225" t="str">
        <f t="shared" si="0"/>
        <v/>
      </c>
      <c r="C27" s="211">
        <v>70</v>
      </c>
      <c r="D27" s="214" t="s">
        <v>87</v>
      </c>
      <c r="E27" s="215">
        <v>50</v>
      </c>
      <c r="F27" s="215">
        <v>200</v>
      </c>
      <c r="G27" s="216">
        <f t="shared" si="2"/>
        <v>10</v>
      </c>
      <c r="H27" s="220"/>
      <c r="I27" s="226"/>
      <c r="J27" s="227"/>
      <c r="K27" s="228"/>
      <c r="L27" s="227"/>
      <c r="M27" s="228"/>
      <c r="N27" s="227"/>
      <c r="O27" s="227"/>
      <c r="P27" s="227"/>
      <c r="Q27" s="227"/>
      <c r="R27" s="227"/>
      <c r="S27" s="226"/>
      <c r="T27" s="227"/>
      <c r="U27" s="227"/>
      <c r="V27" s="227"/>
      <c r="W27" s="228"/>
      <c r="X27" s="227"/>
      <c r="Y27" s="228"/>
      <c r="Z27" s="227"/>
      <c r="AA27" s="227"/>
      <c r="AB27" s="227"/>
      <c r="AC27" s="229"/>
      <c r="AD27" s="227"/>
      <c r="AE27" s="230"/>
      <c r="AF27" s="543"/>
      <c r="AG27" s="227"/>
      <c r="AH27" s="227"/>
      <c r="AI27" s="227"/>
      <c r="AJ27" s="227"/>
      <c r="AK27" s="227"/>
      <c r="AL27" s="227"/>
      <c r="AM27" s="227"/>
      <c r="AN27" s="227"/>
    </row>
    <row r="28" spans="2:40" x14ac:dyDescent="0.2">
      <c r="B28" s="225" t="str">
        <f t="shared" si="0"/>
        <v/>
      </c>
      <c r="C28" s="211">
        <v>70</v>
      </c>
      <c r="D28" s="214" t="s">
        <v>87</v>
      </c>
      <c r="E28" s="215">
        <v>50</v>
      </c>
      <c r="F28" s="215">
        <v>200</v>
      </c>
      <c r="G28" s="216">
        <f t="shared" si="2"/>
        <v>10</v>
      </c>
      <c r="H28" s="220"/>
      <c r="I28" s="226"/>
      <c r="J28" s="227"/>
      <c r="K28" s="228"/>
      <c r="L28" s="227"/>
      <c r="M28" s="228"/>
      <c r="N28" s="227"/>
      <c r="O28" s="227"/>
      <c r="P28" s="227"/>
      <c r="Q28" s="227"/>
      <c r="R28" s="227"/>
      <c r="S28" s="226"/>
      <c r="T28" s="227"/>
      <c r="U28" s="227"/>
      <c r="V28" s="227"/>
      <c r="W28" s="228"/>
      <c r="X28" s="227"/>
      <c r="Y28" s="228"/>
      <c r="Z28" s="227"/>
      <c r="AA28" s="227"/>
      <c r="AB28" s="227"/>
      <c r="AC28" s="229"/>
      <c r="AD28" s="227"/>
      <c r="AE28" s="230"/>
      <c r="AF28" s="543"/>
      <c r="AG28" s="227"/>
      <c r="AH28" s="227"/>
      <c r="AI28" s="227"/>
      <c r="AJ28" s="227"/>
      <c r="AK28" s="227"/>
      <c r="AL28" s="227"/>
      <c r="AM28" s="227"/>
      <c r="AN28" s="227"/>
    </row>
    <row r="29" spans="2:40" x14ac:dyDescent="0.2">
      <c r="B29" s="225" t="str">
        <f t="shared" si="0"/>
        <v/>
      </c>
      <c r="C29" s="211">
        <v>81</v>
      </c>
      <c r="D29" s="214" t="s">
        <v>87</v>
      </c>
      <c r="E29" s="215">
        <v>50</v>
      </c>
      <c r="F29" s="215">
        <v>200</v>
      </c>
      <c r="G29" s="216">
        <f t="shared" si="2"/>
        <v>10</v>
      </c>
      <c r="H29" s="220"/>
      <c r="I29" s="226"/>
      <c r="J29" s="227"/>
      <c r="K29" s="228"/>
      <c r="L29" s="227"/>
      <c r="M29" s="228"/>
      <c r="N29" s="227"/>
      <c r="O29" s="227"/>
      <c r="P29" s="227"/>
      <c r="Q29" s="227"/>
      <c r="R29" s="227"/>
      <c r="S29" s="226"/>
      <c r="T29" s="227"/>
      <c r="U29" s="227"/>
      <c r="V29" s="227"/>
      <c r="W29" s="228"/>
      <c r="X29" s="227"/>
      <c r="Y29" s="228"/>
      <c r="Z29" s="227"/>
      <c r="AA29" s="227"/>
      <c r="AB29" s="227"/>
      <c r="AC29" s="229"/>
      <c r="AD29" s="227"/>
      <c r="AE29" s="230"/>
      <c r="AF29" s="543"/>
      <c r="AG29" s="227"/>
      <c r="AH29" s="227"/>
      <c r="AI29" s="227"/>
      <c r="AJ29" s="227"/>
      <c r="AK29" s="227"/>
      <c r="AL29" s="227"/>
      <c r="AM29" s="227"/>
      <c r="AN29" s="227"/>
    </row>
    <row r="30" spans="2:40" x14ac:dyDescent="0.2">
      <c r="B30" s="225" t="str">
        <f t="shared" si="0"/>
        <v/>
      </c>
      <c r="C30" s="218">
        <v>81</v>
      </c>
      <c r="D30" s="214" t="s">
        <v>87</v>
      </c>
      <c r="E30" s="215">
        <v>50</v>
      </c>
      <c r="F30" s="215">
        <v>200</v>
      </c>
      <c r="G30" s="216">
        <f t="shared" si="2"/>
        <v>10</v>
      </c>
      <c r="H30" s="220"/>
      <c r="I30" s="226"/>
      <c r="J30" s="227"/>
      <c r="K30" s="228"/>
      <c r="L30" s="227"/>
      <c r="M30" s="228"/>
      <c r="N30" s="227"/>
      <c r="O30" s="227"/>
      <c r="P30" s="227"/>
      <c r="Q30" s="227"/>
      <c r="R30" s="227"/>
      <c r="S30" s="226"/>
      <c r="T30" s="227"/>
      <c r="U30" s="227"/>
      <c r="V30" s="227"/>
      <c r="W30" s="228"/>
      <c r="X30" s="227"/>
      <c r="Y30" s="228"/>
      <c r="Z30" s="227"/>
      <c r="AA30" s="227"/>
      <c r="AB30" s="227"/>
      <c r="AC30" s="229"/>
      <c r="AD30" s="227"/>
      <c r="AE30" s="230"/>
      <c r="AF30" s="543"/>
      <c r="AG30" s="227"/>
      <c r="AH30" s="227"/>
      <c r="AI30" s="227"/>
      <c r="AJ30" s="227"/>
      <c r="AK30" s="227"/>
      <c r="AL30" s="227"/>
      <c r="AM30" s="227"/>
      <c r="AN30" s="227"/>
    </row>
    <row r="31" spans="2:40" x14ac:dyDescent="0.2">
      <c r="B31" s="225" t="str">
        <f t="shared" si="0"/>
        <v/>
      </c>
      <c r="C31" s="218">
        <v>81</v>
      </c>
      <c r="D31" s="214" t="s">
        <v>87</v>
      </c>
      <c r="E31" s="215">
        <v>50</v>
      </c>
      <c r="F31" s="215">
        <v>200</v>
      </c>
      <c r="G31" s="216">
        <f t="shared" si="2"/>
        <v>10</v>
      </c>
      <c r="H31" s="220"/>
      <c r="I31" s="226"/>
      <c r="J31" s="227"/>
      <c r="K31" s="228"/>
      <c r="L31" s="227"/>
      <c r="M31" s="228"/>
      <c r="N31" s="227"/>
      <c r="O31" s="227"/>
      <c r="P31" s="227"/>
      <c r="Q31" s="227"/>
      <c r="R31" s="227"/>
      <c r="S31" s="226"/>
      <c r="T31" s="227"/>
      <c r="U31" s="227"/>
      <c r="V31" s="227"/>
      <c r="W31" s="228"/>
      <c r="X31" s="227"/>
      <c r="Y31" s="228"/>
      <c r="Z31" s="227"/>
      <c r="AA31" s="227"/>
      <c r="AB31" s="227"/>
      <c r="AC31" s="229"/>
      <c r="AD31" s="227"/>
      <c r="AE31" s="230"/>
      <c r="AF31" s="543"/>
      <c r="AG31" s="227"/>
      <c r="AH31" s="227"/>
      <c r="AI31" s="227"/>
      <c r="AJ31" s="227"/>
      <c r="AK31" s="227"/>
      <c r="AL31" s="227"/>
      <c r="AM31" s="227"/>
      <c r="AN31" s="227"/>
    </row>
    <row r="32" spans="2:40" x14ac:dyDescent="0.2">
      <c r="B32" s="225" t="str">
        <f t="shared" si="0"/>
        <v/>
      </c>
      <c r="C32" s="218">
        <v>81</v>
      </c>
      <c r="D32" s="214" t="s">
        <v>87</v>
      </c>
      <c r="E32" s="215">
        <v>50</v>
      </c>
      <c r="F32" s="215">
        <v>200</v>
      </c>
      <c r="G32" s="216">
        <f>0.001*E32*F32</f>
        <v>10</v>
      </c>
      <c r="H32" s="220"/>
      <c r="I32" s="226"/>
      <c r="J32" s="227"/>
      <c r="K32" s="228"/>
      <c r="L32" s="227"/>
      <c r="M32" s="228"/>
      <c r="N32" s="227"/>
      <c r="O32" s="227"/>
      <c r="P32" s="227"/>
      <c r="Q32" s="227"/>
      <c r="R32" s="227"/>
      <c r="S32" s="226"/>
      <c r="T32" s="227"/>
      <c r="U32" s="227"/>
      <c r="V32" s="227"/>
      <c r="W32" s="228"/>
      <c r="X32" s="227"/>
      <c r="Y32" s="228"/>
      <c r="Z32" s="227"/>
      <c r="AA32" s="227"/>
      <c r="AB32" s="227"/>
      <c r="AC32" s="229"/>
      <c r="AD32" s="227"/>
      <c r="AE32" s="230"/>
      <c r="AF32" s="543"/>
      <c r="AG32" s="227"/>
      <c r="AH32" s="227"/>
      <c r="AI32" s="227"/>
      <c r="AJ32" s="227"/>
      <c r="AK32" s="227"/>
      <c r="AL32" s="227"/>
      <c r="AM32" s="227"/>
      <c r="AN32" s="227"/>
    </row>
    <row r="33" spans="2:40" x14ac:dyDescent="0.2">
      <c r="B33" s="225" t="str">
        <f t="shared" si="0"/>
        <v/>
      </c>
      <c r="C33" s="211">
        <v>90</v>
      </c>
      <c r="D33" s="214" t="s">
        <v>87</v>
      </c>
      <c r="E33" s="215">
        <v>50</v>
      </c>
      <c r="F33" s="215">
        <v>200</v>
      </c>
      <c r="G33" s="216">
        <f t="shared" si="2"/>
        <v>10</v>
      </c>
      <c r="H33" s="220"/>
      <c r="I33" s="226"/>
      <c r="J33" s="227"/>
      <c r="K33" s="228"/>
      <c r="L33" s="227"/>
      <c r="M33" s="228"/>
      <c r="N33" s="227"/>
      <c r="O33" s="227"/>
      <c r="P33" s="227"/>
      <c r="Q33" s="227"/>
      <c r="R33" s="227"/>
      <c r="S33" s="226"/>
      <c r="T33" s="227"/>
      <c r="U33" s="227"/>
      <c r="V33" s="227"/>
      <c r="W33" s="228"/>
      <c r="X33" s="227"/>
      <c r="Y33" s="228"/>
      <c r="Z33" s="227"/>
      <c r="AA33" s="227"/>
      <c r="AB33" s="227"/>
      <c r="AC33" s="229"/>
      <c r="AD33" s="227"/>
      <c r="AE33" s="230"/>
      <c r="AF33" s="543"/>
      <c r="AG33" s="227"/>
      <c r="AH33" s="227"/>
      <c r="AI33" s="227"/>
      <c r="AJ33" s="227"/>
      <c r="AK33" s="227"/>
      <c r="AL33" s="227"/>
      <c r="AM33" s="227"/>
      <c r="AN33" s="227"/>
    </row>
    <row r="34" spans="2:40" x14ac:dyDescent="0.2">
      <c r="B34" s="225" t="str">
        <f t="shared" si="0"/>
        <v/>
      </c>
      <c r="C34" s="211">
        <v>109</v>
      </c>
      <c r="D34" s="214" t="s">
        <v>87</v>
      </c>
      <c r="E34" s="215">
        <v>50</v>
      </c>
      <c r="F34" s="215">
        <v>200</v>
      </c>
      <c r="G34" s="216">
        <f t="shared" si="2"/>
        <v>10</v>
      </c>
      <c r="H34" s="220"/>
      <c r="I34" s="226"/>
      <c r="J34" s="227"/>
      <c r="K34" s="228"/>
      <c r="L34" s="227"/>
      <c r="M34" s="228"/>
      <c r="N34" s="227"/>
      <c r="O34" s="227"/>
      <c r="P34" s="227"/>
      <c r="Q34" s="227"/>
      <c r="R34" s="227"/>
      <c r="S34" s="226"/>
      <c r="T34" s="227"/>
      <c r="U34" s="227"/>
      <c r="V34" s="227"/>
      <c r="W34" s="228"/>
      <c r="X34" s="227"/>
      <c r="Y34" s="228"/>
      <c r="Z34" s="227"/>
      <c r="AA34" s="227"/>
      <c r="AB34" s="227"/>
      <c r="AC34" s="229"/>
      <c r="AD34" s="227"/>
      <c r="AE34" s="230"/>
      <c r="AF34" s="543"/>
      <c r="AG34" s="227"/>
      <c r="AH34" s="227"/>
      <c r="AI34" s="227"/>
      <c r="AJ34" s="227"/>
      <c r="AK34" s="227"/>
      <c r="AL34" s="227"/>
      <c r="AM34" s="227"/>
      <c r="AN34" s="227"/>
    </row>
    <row r="35" spans="2:40" x14ac:dyDescent="0.2">
      <c r="B35" s="225" t="str">
        <f t="shared" si="0"/>
        <v/>
      </c>
      <c r="C35" s="211">
        <v>125</v>
      </c>
      <c r="D35" s="214" t="s">
        <v>87</v>
      </c>
      <c r="E35" s="215">
        <v>50</v>
      </c>
      <c r="F35" s="215">
        <v>200</v>
      </c>
      <c r="G35" s="216">
        <f t="shared" si="2"/>
        <v>10</v>
      </c>
      <c r="H35" s="220"/>
      <c r="I35" s="226"/>
      <c r="J35" s="227"/>
      <c r="K35" s="228"/>
      <c r="L35" s="227"/>
      <c r="M35" s="228"/>
      <c r="N35" s="227"/>
      <c r="O35" s="227"/>
      <c r="P35" s="227"/>
      <c r="Q35" s="227"/>
      <c r="R35" s="227"/>
      <c r="S35" s="226"/>
      <c r="T35" s="227"/>
      <c r="U35" s="227"/>
      <c r="V35" s="227"/>
      <c r="W35" s="228"/>
      <c r="X35" s="227"/>
      <c r="Y35" s="228"/>
      <c r="Z35" s="227"/>
      <c r="AA35" s="227"/>
      <c r="AB35" s="227"/>
      <c r="AC35" s="229"/>
      <c r="AD35" s="227"/>
      <c r="AE35" s="230"/>
      <c r="AF35" s="543"/>
      <c r="AG35" s="227"/>
      <c r="AH35" s="227"/>
      <c r="AI35" s="227"/>
      <c r="AJ35" s="227"/>
      <c r="AK35" s="227"/>
      <c r="AL35" s="227"/>
      <c r="AM35" s="227"/>
      <c r="AN35" s="227"/>
    </row>
    <row r="36" spans="2:40" x14ac:dyDescent="0.2">
      <c r="B36" s="225" t="str">
        <f t="shared" si="0"/>
        <v/>
      </c>
      <c r="C36" s="211">
        <v>81</v>
      </c>
      <c r="D36" s="214" t="s">
        <v>87</v>
      </c>
      <c r="E36" s="212">
        <v>400</v>
      </c>
      <c r="F36" s="215">
        <v>200</v>
      </c>
      <c r="G36" s="216">
        <f t="shared" si="2"/>
        <v>80</v>
      </c>
      <c r="H36" s="220"/>
      <c r="I36" s="226"/>
      <c r="J36" s="227"/>
      <c r="K36" s="228"/>
      <c r="L36" s="227"/>
      <c r="M36" s="228"/>
      <c r="N36" s="227"/>
      <c r="O36" s="227"/>
      <c r="P36" s="227"/>
      <c r="Q36" s="227"/>
      <c r="R36" s="227"/>
      <c r="S36" s="226"/>
      <c r="T36" s="227"/>
      <c r="U36" s="227"/>
      <c r="V36" s="227"/>
      <c r="W36" s="228"/>
      <c r="X36" s="227"/>
      <c r="Y36" s="228"/>
      <c r="Z36" s="227"/>
      <c r="AA36" s="227"/>
      <c r="AB36" s="227"/>
      <c r="AC36" s="229"/>
      <c r="AD36" s="227"/>
      <c r="AE36" s="230"/>
      <c r="AF36" s="543"/>
      <c r="AG36" s="227"/>
      <c r="AH36" s="227"/>
      <c r="AI36" s="227"/>
      <c r="AJ36" s="227"/>
      <c r="AK36" s="227"/>
      <c r="AL36" s="227"/>
      <c r="AM36" s="227"/>
      <c r="AN36" s="227"/>
    </row>
    <row r="37" spans="2:40" x14ac:dyDescent="0.2">
      <c r="B37" s="225" t="str">
        <f t="shared" si="0"/>
        <v/>
      </c>
      <c r="C37" s="217">
        <v>81</v>
      </c>
      <c r="D37" s="214" t="s">
        <v>87</v>
      </c>
      <c r="E37" s="212">
        <v>200</v>
      </c>
      <c r="F37" s="214">
        <v>200</v>
      </c>
      <c r="G37" s="216">
        <f t="shared" si="2"/>
        <v>40</v>
      </c>
      <c r="H37" s="220"/>
      <c r="I37" s="226"/>
      <c r="J37" s="227"/>
      <c r="K37" s="228"/>
      <c r="L37" s="227"/>
      <c r="M37" s="228"/>
      <c r="N37" s="227"/>
      <c r="O37" s="227"/>
      <c r="P37" s="227"/>
      <c r="Q37" s="227"/>
      <c r="R37" s="227"/>
      <c r="S37" s="226"/>
      <c r="T37" s="227"/>
      <c r="U37" s="227"/>
      <c r="V37" s="227"/>
      <c r="W37" s="228"/>
      <c r="X37" s="227"/>
      <c r="Y37" s="228"/>
      <c r="Z37" s="227"/>
      <c r="AA37" s="227"/>
      <c r="AB37" s="227"/>
      <c r="AC37" s="229"/>
      <c r="AD37" s="227"/>
      <c r="AE37" s="230"/>
      <c r="AF37" s="543"/>
      <c r="AG37" s="227"/>
      <c r="AH37" s="227"/>
      <c r="AI37" s="227"/>
      <c r="AJ37" s="227"/>
      <c r="AK37" s="227"/>
      <c r="AL37" s="227"/>
      <c r="AM37" s="227"/>
      <c r="AN37" s="227"/>
    </row>
    <row r="38" spans="2:40" x14ac:dyDescent="0.2">
      <c r="B38" s="225" t="str">
        <f t="shared" si="0"/>
        <v/>
      </c>
      <c r="C38" s="218">
        <v>81</v>
      </c>
      <c r="D38" s="214" t="s">
        <v>87</v>
      </c>
      <c r="E38" s="212">
        <v>100</v>
      </c>
      <c r="F38" s="214">
        <v>200</v>
      </c>
      <c r="G38" s="216">
        <f t="shared" si="2"/>
        <v>20</v>
      </c>
      <c r="H38" s="220"/>
      <c r="I38" s="226"/>
      <c r="J38" s="227"/>
      <c r="K38" s="228"/>
      <c r="L38" s="227"/>
      <c r="M38" s="228"/>
      <c r="N38" s="227"/>
      <c r="O38" s="227"/>
      <c r="P38" s="227"/>
      <c r="Q38" s="227"/>
      <c r="R38" s="227"/>
      <c r="S38" s="226"/>
      <c r="T38" s="227"/>
      <c r="U38" s="227"/>
      <c r="V38" s="227"/>
      <c r="W38" s="228"/>
      <c r="X38" s="227"/>
      <c r="Y38" s="228"/>
      <c r="Z38" s="227"/>
      <c r="AA38" s="227"/>
      <c r="AB38" s="227"/>
      <c r="AC38" s="229"/>
      <c r="AD38" s="227"/>
      <c r="AE38" s="230"/>
      <c r="AF38" s="543"/>
      <c r="AG38" s="227"/>
      <c r="AH38" s="227"/>
      <c r="AI38" s="227"/>
      <c r="AJ38" s="227"/>
      <c r="AK38" s="227"/>
      <c r="AL38" s="227"/>
      <c r="AM38" s="227"/>
      <c r="AN38" s="227"/>
    </row>
    <row r="39" spans="2:40" x14ac:dyDescent="0.2">
      <c r="B39" s="225" t="str">
        <f t="shared" si="0"/>
        <v/>
      </c>
      <c r="C39" s="217">
        <v>81</v>
      </c>
      <c r="D39" s="214" t="s">
        <v>87</v>
      </c>
      <c r="E39" s="212">
        <v>32</v>
      </c>
      <c r="F39" s="214">
        <v>200</v>
      </c>
      <c r="G39" s="216">
        <f t="shared" si="2"/>
        <v>6.4</v>
      </c>
      <c r="H39" s="220"/>
      <c r="I39" s="226"/>
      <c r="J39" s="227"/>
      <c r="K39" s="228"/>
      <c r="L39" s="227"/>
      <c r="M39" s="228"/>
      <c r="N39" s="227"/>
      <c r="O39" s="227"/>
      <c r="P39" s="227"/>
      <c r="Q39" s="227"/>
      <c r="R39" s="227"/>
      <c r="S39" s="226"/>
      <c r="T39" s="227"/>
      <c r="U39" s="227"/>
      <c r="V39" s="227"/>
      <c r="W39" s="228"/>
      <c r="X39" s="227"/>
      <c r="Y39" s="228"/>
      <c r="Z39" s="227"/>
      <c r="AA39" s="227"/>
      <c r="AB39" s="227"/>
      <c r="AC39" s="229"/>
      <c r="AD39" s="227"/>
      <c r="AE39" s="230"/>
      <c r="AF39" s="543"/>
      <c r="AG39" s="227"/>
      <c r="AH39" s="227"/>
      <c r="AI39" s="227"/>
      <c r="AJ39" s="227"/>
      <c r="AK39" s="227"/>
      <c r="AL39" s="227"/>
      <c r="AM39" s="227"/>
      <c r="AN39" s="227"/>
    </row>
    <row r="40" spans="2:40" x14ac:dyDescent="0.2">
      <c r="B40" s="225" t="str">
        <f t="shared" si="0"/>
        <v/>
      </c>
      <c r="C40" s="217">
        <v>81</v>
      </c>
      <c r="D40" s="214" t="s">
        <v>87</v>
      </c>
      <c r="E40" s="212">
        <v>50</v>
      </c>
      <c r="F40" s="212">
        <v>50</v>
      </c>
      <c r="G40" s="216">
        <f t="shared" si="2"/>
        <v>2.5</v>
      </c>
      <c r="H40" s="220"/>
      <c r="I40" s="226"/>
      <c r="J40" s="227"/>
      <c r="K40" s="228"/>
      <c r="L40" s="227"/>
      <c r="M40" s="228"/>
      <c r="N40" s="227"/>
      <c r="O40" s="227"/>
      <c r="P40" s="227"/>
      <c r="Q40" s="227"/>
      <c r="R40" s="227"/>
      <c r="S40" s="226"/>
      <c r="T40" s="227"/>
      <c r="U40" s="227"/>
      <c r="V40" s="227"/>
      <c r="W40" s="228"/>
      <c r="X40" s="227"/>
      <c r="Y40" s="228"/>
      <c r="Z40" s="227"/>
      <c r="AA40" s="227"/>
      <c r="AB40" s="227"/>
      <c r="AC40" s="229"/>
      <c r="AD40" s="227"/>
      <c r="AE40" s="230"/>
      <c r="AF40" s="543"/>
      <c r="AG40" s="227"/>
      <c r="AH40" s="227"/>
      <c r="AI40" s="227"/>
      <c r="AJ40" s="227"/>
      <c r="AK40" s="227"/>
      <c r="AL40" s="227"/>
      <c r="AM40" s="227"/>
      <c r="AN40" s="227"/>
    </row>
    <row r="41" spans="2:40" x14ac:dyDescent="0.2">
      <c r="B41" s="225" t="str">
        <f t="shared" si="0"/>
        <v/>
      </c>
      <c r="C41" s="217">
        <v>81</v>
      </c>
      <c r="D41" s="214" t="s">
        <v>87</v>
      </c>
      <c r="E41" s="214">
        <v>50</v>
      </c>
      <c r="F41" s="212">
        <v>100</v>
      </c>
      <c r="G41" s="216">
        <f t="shared" si="2"/>
        <v>5</v>
      </c>
      <c r="H41" s="220"/>
      <c r="I41" s="226"/>
      <c r="J41" s="227"/>
      <c r="K41" s="228"/>
      <c r="L41" s="227"/>
      <c r="M41" s="228"/>
      <c r="N41" s="227"/>
      <c r="O41" s="227"/>
      <c r="P41" s="227"/>
      <c r="Q41" s="227"/>
      <c r="R41" s="227"/>
      <c r="S41" s="226"/>
      <c r="T41" s="227"/>
      <c r="U41" s="227"/>
      <c r="V41" s="227"/>
      <c r="W41" s="228"/>
      <c r="X41" s="227"/>
      <c r="Y41" s="228"/>
      <c r="Z41" s="227"/>
      <c r="AA41" s="227"/>
      <c r="AB41" s="227"/>
      <c r="AC41" s="229"/>
      <c r="AD41" s="227"/>
      <c r="AE41" s="230"/>
      <c r="AF41" s="543"/>
      <c r="AG41" s="227"/>
      <c r="AH41" s="227"/>
      <c r="AI41" s="227"/>
      <c r="AJ41" s="227"/>
      <c r="AK41" s="227"/>
      <c r="AL41" s="227"/>
      <c r="AM41" s="227"/>
      <c r="AN41" s="227"/>
    </row>
    <row r="42" spans="2:40" x14ac:dyDescent="0.2">
      <c r="B42" s="225" t="str">
        <f t="shared" si="0"/>
        <v/>
      </c>
      <c r="C42" s="217">
        <v>81</v>
      </c>
      <c r="D42" s="214" t="s">
        <v>87</v>
      </c>
      <c r="E42" s="214">
        <v>50</v>
      </c>
      <c r="F42" s="212">
        <v>250</v>
      </c>
      <c r="G42" s="216">
        <f>0.001*E42*F42</f>
        <v>12.5</v>
      </c>
      <c r="H42" s="220"/>
      <c r="I42" s="226"/>
      <c r="J42" s="227"/>
      <c r="K42" s="228"/>
      <c r="L42" s="227"/>
      <c r="M42" s="228"/>
      <c r="N42" s="227"/>
      <c r="O42" s="227"/>
      <c r="P42" s="227"/>
      <c r="Q42" s="227"/>
      <c r="R42" s="227"/>
      <c r="S42" s="226"/>
      <c r="T42" s="227"/>
      <c r="U42" s="227"/>
      <c r="V42" s="227"/>
      <c r="W42" s="228"/>
      <c r="X42" s="227"/>
      <c r="Y42" s="228"/>
      <c r="Z42" s="227"/>
      <c r="AA42" s="227"/>
      <c r="AB42" s="227"/>
      <c r="AC42" s="229"/>
      <c r="AD42" s="227"/>
      <c r="AE42" s="230"/>
      <c r="AF42" s="543"/>
      <c r="AG42" s="227"/>
      <c r="AH42" s="227"/>
      <c r="AI42" s="227"/>
      <c r="AJ42" s="227"/>
      <c r="AK42" s="227"/>
      <c r="AL42" s="227"/>
      <c r="AM42" s="227"/>
      <c r="AN42" s="227"/>
    </row>
    <row r="43" spans="2:40" x14ac:dyDescent="0.2">
      <c r="B43" s="225" t="str">
        <f t="shared" si="0"/>
        <v/>
      </c>
      <c r="C43" s="217">
        <v>81</v>
      </c>
      <c r="D43" s="214" t="s">
        <v>87</v>
      </c>
      <c r="E43" s="214">
        <v>50</v>
      </c>
      <c r="F43" s="212">
        <v>400</v>
      </c>
      <c r="G43" s="216">
        <f t="shared" si="2"/>
        <v>20</v>
      </c>
      <c r="H43" s="220"/>
      <c r="I43" s="226"/>
      <c r="J43" s="227"/>
      <c r="K43" s="228"/>
      <c r="L43" s="227"/>
      <c r="M43" s="228"/>
      <c r="N43" s="227"/>
      <c r="O43" s="227"/>
      <c r="P43" s="227"/>
      <c r="Q43" s="227"/>
      <c r="R43" s="227"/>
      <c r="S43" s="226"/>
      <c r="T43" s="227"/>
      <c r="U43" s="227"/>
      <c r="V43" s="227"/>
      <c r="W43" s="228"/>
      <c r="X43" s="227"/>
      <c r="Y43" s="228"/>
      <c r="Z43" s="227"/>
      <c r="AA43" s="227"/>
      <c r="AB43" s="227"/>
      <c r="AC43" s="229"/>
      <c r="AD43" s="227"/>
      <c r="AE43" s="230"/>
      <c r="AF43" s="543"/>
      <c r="AG43" s="227"/>
      <c r="AH43" s="227"/>
      <c r="AI43" s="227"/>
      <c r="AJ43" s="227"/>
      <c r="AK43" s="227"/>
      <c r="AL43" s="227"/>
      <c r="AM43" s="227"/>
      <c r="AN43" s="227"/>
    </row>
    <row r="44" spans="2:40" x14ac:dyDescent="0.2">
      <c r="B44" s="161"/>
      <c r="C44" s="808" t="s">
        <v>100</v>
      </c>
      <c r="D44" s="808"/>
      <c r="E44" s="808"/>
      <c r="F44" s="808"/>
      <c r="G44" s="224"/>
      <c r="H44" s="224"/>
    </row>
    <row r="45" spans="2:40" x14ac:dyDescent="0.2">
      <c r="B45" s="161"/>
      <c r="C45" s="220" t="s">
        <v>55</v>
      </c>
      <c r="D45" s="234" t="s">
        <v>98</v>
      </c>
      <c r="E45" s="220" t="s">
        <v>85</v>
      </c>
      <c r="F45" s="220" t="s">
        <v>77</v>
      </c>
      <c r="G45" s="220" t="s">
        <v>53</v>
      </c>
      <c r="H45" s="220"/>
      <c r="I45" s="616" t="s">
        <v>409</v>
      </c>
      <c r="J45" s="616"/>
      <c r="K45" s="616"/>
      <c r="L45" s="616"/>
      <c r="M45" s="616"/>
    </row>
    <row r="46" spans="2:40" x14ac:dyDescent="0.2">
      <c r="B46" s="225" t="str">
        <f>IF(AC46="","",AC46)</f>
        <v/>
      </c>
      <c r="C46" s="211">
        <v>66</v>
      </c>
      <c r="D46" s="212" t="s">
        <v>32</v>
      </c>
      <c r="E46" s="212">
        <v>0</v>
      </c>
      <c r="F46" s="212">
        <v>100</v>
      </c>
      <c r="G46" s="219">
        <f>F46*O46</f>
        <v>0</v>
      </c>
      <c r="H46" s="220"/>
      <c r="I46" s="226"/>
      <c r="J46" s="227"/>
      <c r="K46" s="228"/>
      <c r="L46" s="227"/>
      <c r="M46" s="228"/>
      <c r="N46" s="227"/>
      <c r="O46" s="227"/>
      <c r="P46" s="227"/>
      <c r="Q46" s="227"/>
      <c r="R46" s="227"/>
      <c r="S46" s="227"/>
      <c r="T46" s="227"/>
      <c r="U46" s="227"/>
      <c r="V46" s="227"/>
      <c r="W46" s="228"/>
      <c r="X46" s="227"/>
      <c r="Y46" s="228"/>
      <c r="Z46" s="227"/>
      <c r="AA46" s="227"/>
      <c r="AB46" s="227"/>
      <c r="AC46" s="229"/>
      <c r="AD46" s="227"/>
      <c r="AE46" s="230"/>
      <c r="AF46" s="543"/>
      <c r="AG46" s="227"/>
      <c r="AH46" s="227"/>
      <c r="AI46" s="227"/>
      <c r="AJ46" s="227"/>
      <c r="AK46" s="227"/>
      <c r="AL46" s="227"/>
      <c r="AM46" s="227"/>
      <c r="AN46" s="227"/>
    </row>
    <row r="47" spans="2:40" x14ac:dyDescent="0.2">
      <c r="B47" s="225" t="str">
        <f t="shared" ref="B47:B62" si="3">IF(AC47="","",AC47)</f>
        <v/>
      </c>
      <c r="C47" s="211">
        <v>102</v>
      </c>
      <c r="D47" s="214" t="s">
        <v>32</v>
      </c>
      <c r="E47" s="215">
        <v>0</v>
      </c>
      <c r="F47" s="215">
        <v>100</v>
      </c>
      <c r="G47" s="219">
        <f t="shared" ref="G47:G62" si="4">F47*O47</f>
        <v>0</v>
      </c>
      <c r="H47" s="220"/>
      <c r="I47" s="226"/>
      <c r="J47" s="227"/>
      <c r="K47" s="228"/>
      <c r="L47" s="227"/>
      <c r="M47" s="228"/>
      <c r="N47" s="227"/>
      <c r="O47" s="227"/>
      <c r="P47" s="227"/>
      <c r="Q47" s="227"/>
      <c r="R47" s="227"/>
      <c r="S47" s="227"/>
      <c r="T47" s="227"/>
      <c r="U47" s="227"/>
      <c r="V47" s="227"/>
      <c r="W47" s="228"/>
      <c r="X47" s="227"/>
      <c r="Y47" s="228"/>
      <c r="Z47" s="227"/>
      <c r="AA47" s="227"/>
      <c r="AB47" s="227"/>
      <c r="AC47" s="229"/>
      <c r="AD47" s="227"/>
      <c r="AE47" s="230"/>
      <c r="AF47" s="543"/>
      <c r="AG47" s="227"/>
      <c r="AH47" s="227"/>
      <c r="AI47" s="227"/>
      <c r="AJ47" s="227"/>
      <c r="AK47" s="227"/>
      <c r="AL47" s="227"/>
      <c r="AM47" s="227"/>
      <c r="AN47" s="227"/>
    </row>
    <row r="48" spans="2:40" x14ac:dyDescent="0.2">
      <c r="B48" s="225" t="str">
        <f t="shared" si="3"/>
        <v/>
      </c>
      <c r="C48" s="211">
        <v>117</v>
      </c>
      <c r="D48" s="214" t="s">
        <v>32</v>
      </c>
      <c r="E48" s="215">
        <v>0</v>
      </c>
      <c r="F48" s="215">
        <v>100</v>
      </c>
      <c r="G48" s="219">
        <f t="shared" si="4"/>
        <v>0</v>
      </c>
      <c r="H48" s="220"/>
      <c r="I48" s="226"/>
      <c r="J48" s="227"/>
      <c r="K48" s="228"/>
      <c r="L48" s="227"/>
      <c r="M48" s="228"/>
      <c r="N48" s="227"/>
      <c r="O48" s="227"/>
      <c r="P48" s="227"/>
      <c r="Q48" s="227"/>
      <c r="R48" s="227"/>
      <c r="S48" s="227"/>
      <c r="T48" s="227"/>
      <c r="U48" s="227"/>
      <c r="V48" s="227"/>
      <c r="W48" s="228"/>
      <c r="X48" s="227"/>
      <c r="Y48" s="228"/>
      <c r="Z48" s="227"/>
      <c r="AA48" s="227"/>
      <c r="AB48" s="227"/>
      <c r="AC48" s="229"/>
      <c r="AD48" s="227"/>
      <c r="AE48" s="230"/>
      <c r="AF48" s="543"/>
      <c r="AG48" s="227"/>
      <c r="AH48" s="227"/>
      <c r="AI48" s="227"/>
      <c r="AJ48" s="227"/>
      <c r="AK48" s="227"/>
      <c r="AL48" s="227"/>
      <c r="AM48" s="227"/>
      <c r="AN48" s="227"/>
    </row>
    <row r="49" spans="2:40" x14ac:dyDescent="0.2">
      <c r="B49" s="225" t="str">
        <f t="shared" si="3"/>
        <v/>
      </c>
      <c r="C49" s="211">
        <v>73</v>
      </c>
      <c r="D49" s="214" t="s">
        <v>32</v>
      </c>
      <c r="E49" s="215">
        <v>0</v>
      </c>
      <c r="F49" s="215">
        <v>100</v>
      </c>
      <c r="G49" s="219">
        <f t="shared" si="4"/>
        <v>0</v>
      </c>
      <c r="H49" s="220"/>
      <c r="I49" s="226"/>
      <c r="J49" s="227"/>
      <c r="K49" s="228"/>
      <c r="L49" s="227"/>
      <c r="M49" s="228"/>
      <c r="N49" s="227"/>
      <c r="O49" s="227"/>
      <c r="P49" s="227"/>
      <c r="Q49" s="227"/>
      <c r="R49" s="227"/>
      <c r="S49" s="227"/>
      <c r="T49" s="227"/>
      <c r="U49" s="227"/>
      <c r="V49" s="227"/>
      <c r="W49" s="228"/>
      <c r="X49" s="227"/>
      <c r="Y49" s="228"/>
      <c r="Z49" s="227"/>
      <c r="AA49" s="227"/>
      <c r="AB49" s="227"/>
      <c r="AC49" s="229"/>
      <c r="AD49" s="227"/>
      <c r="AE49" s="230"/>
      <c r="AF49" s="543"/>
      <c r="AG49" s="227"/>
      <c r="AH49" s="227"/>
      <c r="AI49" s="227"/>
      <c r="AJ49" s="227"/>
      <c r="AK49" s="227"/>
      <c r="AL49" s="227"/>
      <c r="AM49" s="227"/>
      <c r="AN49" s="227"/>
    </row>
    <row r="50" spans="2:40" x14ac:dyDescent="0.2">
      <c r="B50" s="225" t="str">
        <f t="shared" si="3"/>
        <v/>
      </c>
      <c r="C50" s="211">
        <v>73</v>
      </c>
      <c r="D50" s="214" t="s">
        <v>32</v>
      </c>
      <c r="E50" s="215">
        <v>0</v>
      </c>
      <c r="F50" s="215">
        <v>100</v>
      </c>
      <c r="G50" s="219">
        <f t="shared" si="4"/>
        <v>0</v>
      </c>
      <c r="H50" s="220"/>
      <c r="I50" s="226"/>
      <c r="J50" s="227"/>
      <c r="K50" s="228"/>
      <c r="L50" s="227"/>
      <c r="M50" s="228"/>
      <c r="N50" s="227"/>
      <c r="O50" s="227"/>
      <c r="P50" s="227"/>
      <c r="Q50" s="227"/>
      <c r="R50" s="227"/>
      <c r="S50" s="227"/>
      <c r="T50" s="227"/>
      <c r="U50" s="227"/>
      <c r="V50" s="227"/>
      <c r="W50" s="228"/>
      <c r="X50" s="227"/>
      <c r="Y50" s="228"/>
      <c r="Z50" s="227"/>
      <c r="AA50" s="227"/>
      <c r="AB50" s="227"/>
      <c r="AC50" s="229"/>
      <c r="AD50" s="227"/>
      <c r="AE50" s="230"/>
      <c r="AF50" s="543"/>
      <c r="AG50" s="227"/>
      <c r="AH50" s="227"/>
      <c r="AI50" s="227"/>
      <c r="AJ50" s="227"/>
      <c r="AK50" s="227"/>
      <c r="AL50" s="227"/>
      <c r="AM50" s="227"/>
      <c r="AN50" s="227"/>
    </row>
    <row r="51" spans="2:40" x14ac:dyDescent="0.2">
      <c r="B51" s="225" t="str">
        <f t="shared" si="3"/>
        <v/>
      </c>
      <c r="C51" s="211">
        <v>73</v>
      </c>
      <c r="D51" s="214" t="s">
        <v>32</v>
      </c>
      <c r="E51" s="215">
        <v>0</v>
      </c>
      <c r="F51" s="215">
        <v>100</v>
      </c>
      <c r="G51" s="219">
        <f t="shared" si="4"/>
        <v>0</v>
      </c>
      <c r="H51" s="220"/>
      <c r="I51" s="226"/>
      <c r="J51" s="227"/>
      <c r="K51" s="228"/>
      <c r="L51" s="227"/>
      <c r="M51" s="228"/>
      <c r="N51" s="227"/>
      <c r="O51" s="227"/>
      <c r="P51" s="227"/>
      <c r="Q51" s="227"/>
      <c r="R51" s="227"/>
      <c r="S51" s="227"/>
      <c r="T51" s="227"/>
      <c r="U51" s="227"/>
      <c r="V51" s="227"/>
      <c r="W51" s="228"/>
      <c r="X51" s="227"/>
      <c r="Y51" s="228"/>
      <c r="Z51" s="227"/>
      <c r="AA51" s="227"/>
      <c r="AB51" s="227"/>
      <c r="AC51" s="229"/>
      <c r="AD51" s="227"/>
      <c r="AE51" s="230"/>
      <c r="AF51" s="543"/>
      <c r="AG51" s="227"/>
      <c r="AH51" s="227"/>
      <c r="AI51" s="227"/>
      <c r="AJ51" s="227"/>
      <c r="AK51" s="227"/>
      <c r="AL51" s="227"/>
      <c r="AM51" s="227"/>
      <c r="AN51" s="227"/>
    </row>
    <row r="52" spans="2:40" x14ac:dyDescent="0.2">
      <c r="B52" s="225" t="str">
        <f t="shared" si="3"/>
        <v/>
      </c>
      <c r="C52" s="211">
        <v>73</v>
      </c>
      <c r="D52" s="214" t="s">
        <v>32</v>
      </c>
      <c r="E52" s="215">
        <v>0</v>
      </c>
      <c r="F52" s="215">
        <v>100</v>
      </c>
      <c r="G52" s="219">
        <f t="shared" si="4"/>
        <v>0</v>
      </c>
      <c r="H52" s="220"/>
      <c r="I52" s="226"/>
      <c r="J52" s="227"/>
      <c r="K52" s="228"/>
      <c r="L52" s="227"/>
      <c r="M52" s="228"/>
      <c r="N52" s="227"/>
      <c r="O52" s="227"/>
      <c r="P52" s="227"/>
      <c r="Q52" s="227"/>
      <c r="R52" s="227"/>
      <c r="S52" s="227"/>
      <c r="T52" s="227"/>
      <c r="U52" s="227"/>
      <c r="V52" s="227"/>
      <c r="W52" s="228"/>
      <c r="X52" s="227"/>
      <c r="Y52" s="228"/>
      <c r="Z52" s="227"/>
      <c r="AA52" s="227"/>
      <c r="AB52" s="227"/>
      <c r="AC52" s="229"/>
      <c r="AD52" s="227"/>
      <c r="AE52" s="230"/>
      <c r="AF52" s="543"/>
      <c r="AG52" s="227"/>
      <c r="AH52" s="227"/>
      <c r="AI52" s="227"/>
      <c r="AJ52" s="227"/>
      <c r="AK52" s="227"/>
      <c r="AL52" s="227"/>
      <c r="AM52" s="227"/>
      <c r="AN52" s="227"/>
    </row>
    <row r="53" spans="2:40" x14ac:dyDescent="0.2">
      <c r="B53" s="225" t="str">
        <f t="shared" si="3"/>
        <v/>
      </c>
      <c r="C53" s="211">
        <v>73</v>
      </c>
      <c r="D53" s="214" t="s">
        <v>32</v>
      </c>
      <c r="E53" s="212">
        <v>-1</v>
      </c>
      <c r="F53" s="215">
        <v>100</v>
      </c>
      <c r="G53" s="219">
        <f t="shared" si="4"/>
        <v>0</v>
      </c>
      <c r="H53" s="220"/>
      <c r="I53" s="226"/>
      <c r="J53" s="227"/>
      <c r="K53" s="228"/>
      <c r="L53" s="227"/>
      <c r="M53" s="228"/>
      <c r="N53" s="227"/>
      <c r="O53" s="227"/>
      <c r="P53" s="227"/>
      <c r="Q53" s="227"/>
      <c r="R53" s="227"/>
      <c r="S53" s="226"/>
      <c r="T53" s="227"/>
      <c r="U53" s="227"/>
      <c r="V53" s="227"/>
      <c r="W53" s="228"/>
      <c r="X53" s="227"/>
      <c r="Y53" s="228"/>
      <c r="Z53" s="227"/>
      <c r="AA53" s="227"/>
      <c r="AB53" s="227"/>
      <c r="AC53" s="229"/>
      <c r="AD53" s="227"/>
      <c r="AE53" s="230"/>
      <c r="AF53" s="543"/>
      <c r="AG53" s="227"/>
      <c r="AH53" s="227"/>
      <c r="AI53" s="227"/>
      <c r="AJ53" s="227"/>
      <c r="AK53" s="227"/>
      <c r="AL53" s="227"/>
      <c r="AM53" s="227"/>
      <c r="AN53" s="227"/>
    </row>
    <row r="54" spans="2:40" x14ac:dyDescent="0.2">
      <c r="B54" s="225" t="str">
        <f t="shared" si="3"/>
        <v/>
      </c>
      <c r="C54" s="211">
        <v>73</v>
      </c>
      <c r="D54" s="214" t="s">
        <v>32</v>
      </c>
      <c r="E54" s="212">
        <v>-2</v>
      </c>
      <c r="F54" s="215">
        <v>100</v>
      </c>
      <c r="G54" s="219">
        <f t="shared" si="4"/>
        <v>0</v>
      </c>
      <c r="H54" s="220"/>
      <c r="I54" s="226"/>
      <c r="J54" s="227"/>
      <c r="K54" s="228"/>
      <c r="L54" s="227"/>
      <c r="M54" s="228"/>
      <c r="N54" s="227"/>
      <c r="O54" s="227"/>
      <c r="P54" s="227"/>
      <c r="Q54" s="227"/>
      <c r="R54" s="227"/>
      <c r="S54" s="226"/>
      <c r="T54" s="227"/>
      <c r="U54" s="227"/>
      <c r="V54" s="227"/>
      <c r="W54" s="228"/>
      <c r="X54" s="227"/>
      <c r="Y54" s="228"/>
      <c r="Z54" s="227"/>
      <c r="AA54" s="227"/>
      <c r="AB54" s="227"/>
      <c r="AC54" s="229"/>
      <c r="AD54" s="227"/>
      <c r="AE54" s="230"/>
      <c r="AF54" s="543"/>
      <c r="AG54" s="227"/>
      <c r="AH54" s="227"/>
      <c r="AI54" s="227"/>
      <c r="AJ54" s="227"/>
      <c r="AK54" s="227"/>
      <c r="AL54" s="227"/>
      <c r="AM54" s="227"/>
      <c r="AN54" s="227"/>
    </row>
    <row r="55" spans="2:40" x14ac:dyDescent="0.2">
      <c r="B55" s="225" t="str">
        <f t="shared" si="3"/>
        <v/>
      </c>
      <c r="C55" s="211">
        <v>73</v>
      </c>
      <c r="D55" s="214" t="s">
        <v>32</v>
      </c>
      <c r="E55" s="212">
        <v>1</v>
      </c>
      <c r="F55" s="215">
        <v>100</v>
      </c>
      <c r="G55" s="219">
        <f t="shared" si="4"/>
        <v>0</v>
      </c>
      <c r="H55" s="220"/>
      <c r="I55" s="226"/>
      <c r="J55" s="227"/>
      <c r="K55" s="228"/>
      <c r="L55" s="227"/>
      <c r="M55" s="228"/>
      <c r="N55" s="227"/>
      <c r="O55" s="227"/>
      <c r="P55" s="227"/>
      <c r="Q55" s="227"/>
      <c r="R55" s="227"/>
      <c r="S55" s="226"/>
      <c r="T55" s="227"/>
      <c r="U55" s="227"/>
      <c r="V55" s="227"/>
      <c r="W55" s="228"/>
      <c r="X55" s="227"/>
      <c r="Y55" s="228"/>
      <c r="Z55" s="227"/>
      <c r="AA55" s="227"/>
      <c r="AB55" s="227"/>
      <c r="AC55" s="229"/>
      <c r="AD55" s="227"/>
      <c r="AE55" s="230"/>
      <c r="AF55" s="543"/>
      <c r="AG55" s="227"/>
      <c r="AH55" s="227"/>
      <c r="AI55" s="227"/>
      <c r="AJ55" s="227"/>
      <c r="AK55" s="227"/>
      <c r="AL55" s="227"/>
      <c r="AM55" s="227"/>
      <c r="AN55" s="227"/>
    </row>
    <row r="56" spans="2:40" x14ac:dyDescent="0.2">
      <c r="B56" s="225" t="str">
        <f t="shared" si="3"/>
        <v/>
      </c>
      <c r="C56" s="211">
        <v>73</v>
      </c>
      <c r="D56" s="214" t="s">
        <v>32</v>
      </c>
      <c r="E56" s="212">
        <v>2</v>
      </c>
      <c r="F56" s="215">
        <v>100</v>
      </c>
      <c r="G56" s="219">
        <f t="shared" si="4"/>
        <v>0</v>
      </c>
      <c r="H56" s="220"/>
      <c r="I56" s="226"/>
      <c r="J56" s="227"/>
      <c r="K56" s="228"/>
      <c r="L56" s="227"/>
      <c r="M56" s="228"/>
      <c r="N56" s="227"/>
      <c r="O56" s="227"/>
      <c r="P56" s="227"/>
      <c r="Q56" s="227"/>
      <c r="R56" s="227"/>
      <c r="S56" s="226"/>
      <c r="T56" s="227"/>
      <c r="U56" s="227"/>
      <c r="V56" s="227"/>
      <c r="W56" s="228"/>
      <c r="X56" s="227"/>
      <c r="Y56" s="228"/>
      <c r="Z56" s="227"/>
      <c r="AA56" s="227"/>
      <c r="AB56" s="227"/>
      <c r="AC56" s="229"/>
      <c r="AD56" s="227"/>
      <c r="AE56" s="230"/>
      <c r="AF56" s="543"/>
      <c r="AG56" s="227"/>
      <c r="AH56" s="227"/>
      <c r="AI56" s="227"/>
      <c r="AJ56" s="227"/>
      <c r="AK56" s="227"/>
      <c r="AL56" s="227"/>
      <c r="AM56" s="227"/>
      <c r="AN56" s="227"/>
    </row>
    <row r="57" spans="2:40" x14ac:dyDescent="0.2">
      <c r="B57" s="225" t="str">
        <f t="shared" si="3"/>
        <v/>
      </c>
      <c r="C57" s="211">
        <v>73</v>
      </c>
      <c r="D57" s="212" t="s">
        <v>30</v>
      </c>
      <c r="E57" s="212">
        <v>0</v>
      </c>
      <c r="F57" s="215">
        <v>100</v>
      </c>
      <c r="G57" s="219">
        <f t="shared" si="4"/>
        <v>0</v>
      </c>
      <c r="H57" s="220"/>
      <c r="I57" s="226"/>
      <c r="J57" s="227"/>
      <c r="K57" s="228"/>
      <c r="L57" s="227"/>
      <c r="M57" s="228"/>
      <c r="N57" s="227"/>
      <c r="O57" s="227"/>
      <c r="P57" s="227"/>
      <c r="Q57" s="227"/>
      <c r="R57" s="227"/>
      <c r="S57" s="226"/>
      <c r="T57" s="227"/>
      <c r="U57" s="227"/>
      <c r="V57" s="227"/>
      <c r="W57" s="228"/>
      <c r="X57" s="227"/>
      <c r="Y57" s="228"/>
      <c r="Z57" s="227"/>
      <c r="AA57" s="227"/>
      <c r="AB57" s="227"/>
      <c r="AC57" s="229"/>
      <c r="AD57" s="227"/>
      <c r="AE57" s="230"/>
      <c r="AF57" s="543"/>
      <c r="AG57" s="227"/>
      <c r="AH57" s="227"/>
      <c r="AI57" s="227"/>
      <c r="AJ57" s="227"/>
      <c r="AK57" s="227"/>
      <c r="AL57" s="227"/>
      <c r="AM57" s="227"/>
      <c r="AN57" s="227"/>
    </row>
    <row r="58" spans="2:40" x14ac:dyDescent="0.2">
      <c r="B58" s="225" t="str">
        <f t="shared" si="3"/>
        <v/>
      </c>
      <c r="C58" s="211">
        <v>73</v>
      </c>
      <c r="D58" s="214" t="s">
        <v>30</v>
      </c>
      <c r="E58" s="215">
        <v>0</v>
      </c>
      <c r="F58" s="215">
        <v>100</v>
      </c>
      <c r="G58" s="219">
        <f t="shared" si="4"/>
        <v>0</v>
      </c>
      <c r="H58" s="220"/>
      <c r="I58" s="226"/>
      <c r="J58" s="227"/>
      <c r="K58" s="228"/>
      <c r="L58" s="227"/>
      <c r="M58" s="228"/>
      <c r="N58" s="227"/>
      <c r="O58" s="227"/>
      <c r="P58" s="227"/>
      <c r="Q58" s="227"/>
      <c r="R58" s="227"/>
      <c r="S58" s="226"/>
      <c r="T58" s="227"/>
      <c r="U58" s="227"/>
      <c r="V58" s="227"/>
      <c r="W58" s="228"/>
      <c r="X58" s="227"/>
      <c r="Y58" s="228"/>
      <c r="Z58" s="227"/>
      <c r="AA58" s="227"/>
      <c r="AB58" s="227"/>
      <c r="AC58" s="229"/>
      <c r="AD58" s="227"/>
      <c r="AE58" s="230"/>
      <c r="AF58" s="543"/>
      <c r="AG58" s="227"/>
      <c r="AH58" s="227"/>
      <c r="AI58" s="227"/>
      <c r="AJ58" s="227"/>
      <c r="AK58" s="227"/>
      <c r="AL58" s="227"/>
      <c r="AM58" s="227"/>
      <c r="AN58" s="227"/>
    </row>
    <row r="59" spans="2:40" x14ac:dyDescent="0.2">
      <c r="B59" s="225" t="str">
        <f t="shared" si="3"/>
        <v/>
      </c>
      <c r="C59" s="211">
        <v>73</v>
      </c>
      <c r="D59" s="212" t="s">
        <v>31</v>
      </c>
      <c r="E59" s="215">
        <v>0</v>
      </c>
      <c r="F59" s="215">
        <v>100</v>
      </c>
      <c r="G59" s="219">
        <f t="shared" si="4"/>
        <v>0</v>
      </c>
      <c r="H59" s="220"/>
      <c r="I59" s="226"/>
      <c r="J59" s="227"/>
      <c r="K59" s="228"/>
      <c r="L59" s="227"/>
      <c r="M59" s="228"/>
      <c r="N59" s="227"/>
      <c r="O59" s="227"/>
      <c r="P59" s="227"/>
      <c r="Q59" s="227"/>
      <c r="R59" s="227"/>
      <c r="S59" s="226"/>
      <c r="T59" s="227"/>
      <c r="U59" s="227"/>
      <c r="V59" s="227"/>
      <c r="W59" s="228"/>
      <c r="X59" s="227"/>
      <c r="Y59" s="228"/>
      <c r="Z59" s="227"/>
      <c r="AA59" s="227"/>
      <c r="AB59" s="227"/>
      <c r="AC59" s="229"/>
      <c r="AD59" s="227"/>
      <c r="AE59" s="230"/>
      <c r="AF59" s="543"/>
      <c r="AG59" s="227"/>
      <c r="AH59" s="227"/>
      <c r="AI59" s="227"/>
      <c r="AJ59" s="227"/>
      <c r="AK59" s="227"/>
      <c r="AL59" s="227"/>
      <c r="AM59" s="227"/>
      <c r="AN59" s="227"/>
    </row>
    <row r="60" spans="2:40" x14ac:dyDescent="0.2">
      <c r="B60" s="225" t="str">
        <f t="shared" si="3"/>
        <v/>
      </c>
      <c r="C60" s="211">
        <v>73</v>
      </c>
      <c r="D60" s="214" t="s">
        <v>31</v>
      </c>
      <c r="E60" s="215">
        <v>0</v>
      </c>
      <c r="F60" s="215">
        <v>100</v>
      </c>
      <c r="G60" s="219">
        <f t="shared" si="4"/>
        <v>0</v>
      </c>
      <c r="H60" s="220"/>
      <c r="I60" s="226"/>
      <c r="J60" s="227"/>
      <c r="K60" s="228"/>
      <c r="L60" s="227"/>
      <c r="M60" s="228"/>
      <c r="N60" s="227"/>
      <c r="O60" s="227"/>
      <c r="P60" s="227"/>
      <c r="Q60" s="227"/>
      <c r="R60" s="227"/>
      <c r="S60" s="226"/>
      <c r="T60" s="227"/>
      <c r="U60" s="227"/>
      <c r="V60" s="227"/>
      <c r="W60" s="228"/>
      <c r="X60" s="227"/>
      <c r="Y60" s="228"/>
      <c r="Z60" s="227"/>
      <c r="AA60" s="227"/>
      <c r="AB60" s="227"/>
      <c r="AC60" s="229"/>
      <c r="AD60" s="227"/>
      <c r="AE60" s="230"/>
      <c r="AF60" s="543"/>
      <c r="AG60" s="227"/>
      <c r="AH60" s="227"/>
      <c r="AI60" s="227"/>
      <c r="AJ60" s="227"/>
      <c r="AK60" s="227"/>
      <c r="AL60" s="227"/>
      <c r="AM60" s="227"/>
      <c r="AN60" s="227"/>
    </row>
    <row r="61" spans="2:40" x14ac:dyDescent="0.2">
      <c r="B61" s="225" t="str">
        <f t="shared" si="3"/>
        <v/>
      </c>
      <c r="C61" s="211">
        <v>73</v>
      </c>
      <c r="D61" s="212" t="s">
        <v>99</v>
      </c>
      <c r="E61" s="215">
        <v>0</v>
      </c>
      <c r="F61" s="215">
        <v>100</v>
      </c>
      <c r="G61" s="219">
        <f t="shared" si="4"/>
        <v>0</v>
      </c>
      <c r="H61" s="220"/>
      <c r="I61" s="226"/>
      <c r="J61" s="227"/>
      <c r="K61" s="228"/>
      <c r="L61" s="227"/>
      <c r="M61" s="228"/>
      <c r="N61" s="227"/>
      <c r="O61" s="227"/>
      <c r="P61" s="227"/>
      <c r="Q61" s="227"/>
      <c r="R61" s="227"/>
      <c r="S61" s="226"/>
      <c r="T61" s="227"/>
      <c r="U61" s="227"/>
      <c r="V61" s="227"/>
      <c r="W61" s="228"/>
      <c r="X61" s="227"/>
      <c r="Y61" s="228"/>
      <c r="Z61" s="227"/>
      <c r="AA61" s="227"/>
      <c r="AB61" s="227"/>
      <c r="AC61" s="229"/>
      <c r="AD61" s="227"/>
      <c r="AE61" s="230"/>
      <c r="AF61" s="543"/>
      <c r="AG61" s="227"/>
      <c r="AH61" s="227"/>
      <c r="AI61" s="227"/>
      <c r="AJ61" s="227"/>
      <c r="AK61" s="227"/>
      <c r="AL61" s="227"/>
      <c r="AM61" s="227"/>
      <c r="AN61" s="227"/>
    </row>
    <row r="62" spans="2:40" x14ac:dyDescent="0.2">
      <c r="B62" s="225" t="str">
        <f t="shared" si="3"/>
        <v/>
      </c>
      <c r="C62" s="211">
        <v>73</v>
      </c>
      <c r="D62" s="214" t="s">
        <v>99</v>
      </c>
      <c r="E62" s="215">
        <v>0</v>
      </c>
      <c r="F62" s="215">
        <v>100</v>
      </c>
      <c r="G62" s="219">
        <f t="shared" si="4"/>
        <v>0</v>
      </c>
      <c r="H62" s="220"/>
      <c r="I62" s="226"/>
      <c r="J62" s="227"/>
      <c r="K62" s="228"/>
      <c r="L62" s="227"/>
      <c r="M62" s="228"/>
      <c r="N62" s="227"/>
      <c r="O62" s="227"/>
      <c r="P62" s="227"/>
      <c r="Q62" s="227"/>
      <c r="R62" s="227"/>
      <c r="S62" s="226"/>
      <c r="T62" s="227"/>
      <c r="U62" s="227"/>
      <c r="V62" s="227"/>
      <c r="W62" s="228"/>
      <c r="X62" s="227"/>
      <c r="Y62" s="228"/>
      <c r="Z62" s="227"/>
      <c r="AA62" s="227"/>
      <c r="AB62" s="227"/>
      <c r="AC62" s="229"/>
      <c r="AD62" s="227"/>
      <c r="AE62" s="230"/>
      <c r="AF62" s="543"/>
      <c r="AG62" s="227"/>
      <c r="AH62" s="227"/>
      <c r="AI62" s="227"/>
      <c r="AJ62" s="227"/>
      <c r="AK62" s="227"/>
      <c r="AL62" s="227"/>
      <c r="AM62" s="227"/>
      <c r="AN62" s="227"/>
    </row>
    <row r="63" spans="2:40" x14ac:dyDescent="0.2">
      <c r="B63" s="161"/>
      <c r="C63" s="808" t="s">
        <v>101</v>
      </c>
      <c r="D63" s="808"/>
      <c r="E63" s="808"/>
      <c r="F63" s="808"/>
      <c r="G63" s="224"/>
      <c r="H63" s="224"/>
    </row>
    <row r="64" spans="2:40" x14ac:dyDescent="0.2">
      <c r="B64" s="161"/>
      <c r="C64" s="220" t="s">
        <v>55</v>
      </c>
      <c r="D64" s="234" t="s">
        <v>98</v>
      </c>
      <c r="E64" s="220" t="s">
        <v>85</v>
      </c>
      <c r="F64" s="220" t="s">
        <v>77</v>
      </c>
      <c r="G64" s="220" t="s">
        <v>53</v>
      </c>
      <c r="H64" s="220"/>
      <c r="I64" s="616" t="s">
        <v>409</v>
      </c>
      <c r="J64" s="616"/>
      <c r="K64" s="616"/>
      <c r="L64" s="616"/>
    </row>
    <row r="65" spans="2:40" x14ac:dyDescent="0.2">
      <c r="B65" s="225" t="str">
        <f t="shared" ref="B65:B70" si="5">IF(AC65="","",AC65)</f>
        <v/>
      </c>
      <c r="C65" s="211">
        <v>73</v>
      </c>
      <c r="D65" s="212" t="s">
        <v>32</v>
      </c>
      <c r="E65" s="212">
        <v>0</v>
      </c>
      <c r="F65" s="212">
        <v>100</v>
      </c>
      <c r="G65" s="219">
        <f t="shared" ref="G65:G70" si="6">F65*O65</f>
        <v>0</v>
      </c>
      <c r="H65" s="220"/>
      <c r="I65" s="226"/>
      <c r="J65" s="227"/>
      <c r="K65" s="228"/>
      <c r="L65" s="227"/>
      <c r="M65" s="228"/>
      <c r="N65" s="227"/>
      <c r="O65" s="227"/>
      <c r="P65" s="227"/>
      <c r="Q65" s="227"/>
      <c r="R65" s="227"/>
      <c r="S65" s="227"/>
      <c r="T65" s="227"/>
      <c r="U65" s="227"/>
      <c r="V65" s="227"/>
      <c r="W65" s="228"/>
      <c r="X65" s="227"/>
      <c r="Y65" s="228"/>
      <c r="Z65" s="227"/>
      <c r="AA65" s="227"/>
      <c r="AB65" s="227"/>
      <c r="AC65" s="229"/>
      <c r="AD65" s="227"/>
      <c r="AE65" s="230"/>
      <c r="AF65" s="543"/>
      <c r="AG65" s="227"/>
      <c r="AH65" s="227"/>
      <c r="AI65" s="227"/>
      <c r="AJ65" s="227"/>
      <c r="AK65" s="227"/>
      <c r="AL65" s="227"/>
      <c r="AM65" s="227"/>
      <c r="AN65" s="227"/>
    </row>
    <row r="66" spans="2:40" x14ac:dyDescent="0.2">
      <c r="B66" s="225" t="str">
        <f t="shared" si="5"/>
        <v/>
      </c>
      <c r="C66" s="218">
        <v>73</v>
      </c>
      <c r="D66" s="214" t="s">
        <v>32</v>
      </c>
      <c r="E66" s="215">
        <v>0</v>
      </c>
      <c r="F66" s="215">
        <v>100</v>
      </c>
      <c r="G66" s="219">
        <f t="shared" si="6"/>
        <v>0</v>
      </c>
      <c r="H66" s="220"/>
      <c r="I66" s="226"/>
      <c r="J66" s="227"/>
      <c r="K66" s="228"/>
      <c r="L66" s="227"/>
      <c r="M66" s="228"/>
      <c r="N66" s="227"/>
      <c r="O66" s="227"/>
      <c r="P66" s="227"/>
      <c r="Q66" s="227"/>
      <c r="R66" s="227"/>
      <c r="S66" s="227"/>
      <c r="T66" s="227"/>
      <c r="U66" s="227"/>
      <c r="V66" s="227"/>
      <c r="W66" s="228"/>
      <c r="X66" s="227"/>
      <c r="Y66" s="228"/>
      <c r="Z66" s="227"/>
      <c r="AA66" s="227"/>
      <c r="AB66" s="227"/>
      <c r="AC66" s="229"/>
      <c r="AD66" s="227"/>
      <c r="AE66" s="230"/>
      <c r="AF66" s="543"/>
      <c r="AG66" s="227"/>
      <c r="AH66" s="227"/>
      <c r="AI66" s="227"/>
      <c r="AJ66" s="227"/>
      <c r="AK66" s="227"/>
      <c r="AL66" s="227"/>
      <c r="AM66" s="227"/>
      <c r="AN66" s="227"/>
    </row>
    <row r="67" spans="2:40" x14ac:dyDescent="0.2">
      <c r="B67" s="225" t="str">
        <f t="shared" si="5"/>
        <v/>
      </c>
      <c r="C67" s="218">
        <v>73</v>
      </c>
      <c r="D67" s="212" t="s">
        <v>30</v>
      </c>
      <c r="E67" s="215">
        <v>0</v>
      </c>
      <c r="F67" s="215">
        <v>100</v>
      </c>
      <c r="G67" s="219">
        <f t="shared" si="6"/>
        <v>0</v>
      </c>
      <c r="H67" s="220"/>
      <c r="I67" s="226"/>
      <c r="J67" s="227"/>
      <c r="K67" s="228"/>
      <c r="L67" s="227"/>
      <c r="M67" s="228"/>
      <c r="N67" s="227"/>
      <c r="O67" s="227"/>
      <c r="P67" s="227"/>
      <c r="Q67" s="227"/>
      <c r="R67" s="227"/>
      <c r="S67" s="227"/>
      <c r="T67" s="227"/>
      <c r="U67" s="227"/>
      <c r="V67" s="227"/>
      <c r="W67" s="228"/>
      <c r="X67" s="227"/>
      <c r="Y67" s="228"/>
      <c r="Z67" s="227"/>
      <c r="AA67" s="227"/>
      <c r="AB67" s="227"/>
      <c r="AC67" s="229"/>
      <c r="AD67" s="227"/>
      <c r="AE67" s="230"/>
      <c r="AF67" s="543"/>
      <c r="AG67" s="227"/>
      <c r="AH67" s="227"/>
      <c r="AI67" s="227"/>
      <c r="AJ67" s="227"/>
      <c r="AK67" s="227"/>
      <c r="AL67" s="227"/>
      <c r="AM67" s="227"/>
      <c r="AN67" s="227"/>
    </row>
    <row r="68" spans="2:40" x14ac:dyDescent="0.2">
      <c r="B68" s="225" t="str">
        <f t="shared" si="5"/>
        <v/>
      </c>
      <c r="C68" s="218">
        <v>73</v>
      </c>
      <c r="D68" s="214" t="s">
        <v>30</v>
      </c>
      <c r="E68" s="215">
        <v>0</v>
      </c>
      <c r="F68" s="215">
        <v>100</v>
      </c>
      <c r="G68" s="219">
        <f t="shared" si="6"/>
        <v>0</v>
      </c>
      <c r="H68" s="220"/>
      <c r="I68" s="226"/>
      <c r="J68" s="227"/>
      <c r="K68" s="228"/>
      <c r="L68" s="227"/>
      <c r="M68" s="228"/>
      <c r="N68" s="227"/>
      <c r="O68" s="227"/>
      <c r="P68" s="227"/>
      <c r="Q68" s="227"/>
      <c r="R68" s="227"/>
      <c r="S68" s="227"/>
      <c r="T68" s="227"/>
      <c r="U68" s="227"/>
      <c r="V68" s="227"/>
      <c r="W68" s="228"/>
      <c r="X68" s="227"/>
      <c r="Y68" s="228"/>
      <c r="Z68" s="227"/>
      <c r="AA68" s="227"/>
      <c r="AB68" s="227"/>
      <c r="AC68" s="229"/>
      <c r="AD68" s="227"/>
      <c r="AE68" s="230"/>
      <c r="AF68" s="543"/>
      <c r="AG68" s="227"/>
      <c r="AH68" s="227"/>
      <c r="AI68" s="227"/>
      <c r="AJ68" s="227"/>
      <c r="AK68" s="227"/>
      <c r="AL68" s="227"/>
      <c r="AM68" s="227"/>
      <c r="AN68" s="227"/>
    </row>
    <row r="69" spans="2:40" x14ac:dyDescent="0.2">
      <c r="B69" s="225" t="str">
        <f t="shared" si="5"/>
        <v/>
      </c>
      <c r="C69" s="218">
        <v>73</v>
      </c>
      <c r="D69" s="212" t="s">
        <v>31</v>
      </c>
      <c r="E69" s="215">
        <v>0</v>
      </c>
      <c r="F69" s="215">
        <v>100</v>
      </c>
      <c r="G69" s="219">
        <f t="shared" si="6"/>
        <v>0</v>
      </c>
      <c r="H69" s="220"/>
      <c r="I69" s="226"/>
      <c r="J69" s="227"/>
      <c r="K69" s="228"/>
      <c r="L69" s="227"/>
      <c r="M69" s="228"/>
      <c r="N69" s="227"/>
      <c r="O69" s="227"/>
      <c r="P69" s="227"/>
      <c r="Q69" s="227"/>
      <c r="R69" s="227"/>
      <c r="S69" s="227"/>
      <c r="T69" s="227"/>
      <c r="U69" s="227"/>
      <c r="V69" s="227"/>
      <c r="W69" s="228"/>
      <c r="X69" s="227"/>
      <c r="Y69" s="228"/>
      <c r="Z69" s="227"/>
      <c r="AA69" s="227"/>
      <c r="AB69" s="227"/>
      <c r="AC69" s="229"/>
      <c r="AD69" s="227"/>
      <c r="AE69" s="230"/>
      <c r="AF69" s="543"/>
      <c r="AG69" s="227"/>
      <c r="AH69" s="227"/>
      <c r="AI69" s="227"/>
      <c r="AJ69" s="227"/>
      <c r="AK69" s="227"/>
      <c r="AL69" s="227"/>
      <c r="AM69" s="227"/>
      <c r="AN69" s="227"/>
    </row>
    <row r="70" spans="2:40" x14ac:dyDescent="0.2">
      <c r="B70" s="225" t="str">
        <f t="shared" si="5"/>
        <v/>
      </c>
      <c r="C70" s="218">
        <v>73</v>
      </c>
      <c r="D70" s="214" t="s">
        <v>31</v>
      </c>
      <c r="E70" s="215">
        <v>0</v>
      </c>
      <c r="F70" s="215">
        <v>100</v>
      </c>
      <c r="G70" s="219">
        <f t="shared" si="6"/>
        <v>0</v>
      </c>
      <c r="H70" s="220"/>
      <c r="I70" s="226"/>
      <c r="J70" s="227"/>
      <c r="K70" s="228"/>
      <c r="L70" s="227"/>
      <c r="M70" s="228"/>
      <c r="N70" s="227"/>
      <c r="O70" s="227"/>
      <c r="P70" s="227"/>
      <c r="Q70" s="227"/>
      <c r="R70" s="227"/>
      <c r="S70" s="227"/>
      <c r="T70" s="227"/>
      <c r="U70" s="227"/>
      <c r="V70" s="227"/>
      <c r="W70" s="228"/>
      <c r="X70" s="227"/>
      <c r="Y70" s="228"/>
      <c r="Z70" s="227"/>
      <c r="AA70" s="227"/>
      <c r="AB70" s="227"/>
      <c r="AC70" s="229"/>
      <c r="AD70" s="227"/>
      <c r="AE70" s="230"/>
      <c r="AF70" s="543"/>
      <c r="AG70" s="227"/>
      <c r="AH70" s="227"/>
      <c r="AI70" s="227"/>
      <c r="AJ70" s="227"/>
      <c r="AK70" s="227"/>
      <c r="AL70" s="227"/>
      <c r="AM70" s="227"/>
      <c r="AN70" s="227"/>
    </row>
    <row r="71" spans="2:40" x14ac:dyDescent="0.2">
      <c r="B71" s="161"/>
      <c r="C71" s="808" t="s">
        <v>362</v>
      </c>
      <c r="D71" s="808"/>
      <c r="E71" s="808"/>
      <c r="F71" s="808"/>
      <c r="G71" s="224"/>
      <c r="H71" s="224"/>
      <c r="I71" s="616"/>
      <c r="J71" s="616"/>
      <c r="K71" s="616"/>
      <c r="L71" s="616"/>
      <c r="M71" s="616"/>
      <c r="AF71" s="521"/>
    </row>
    <row r="72" spans="2:40" x14ac:dyDescent="0.2">
      <c r="B72" s="161"/>
      <c r="C72" s="220" t="s">
        <v>55</v>
      </c>
      <c r="D72" s="234" t="s">
        <v>98</v>
      </c>
      <c r="E72" s="220" t="s">
        <v>85</v>
      </c>
      <c r="F72" s="220" t="s">
        <v>77</v>
      </c>
      <c r="G72" s="220" t="s">
        <v>53</v>
      </c>
      <c r="H72" s="220"/>
      <c r="I72" s="616" t="s">
        <v>409</v>
      </c>
      <c r="J72" s="616"/>
      <c r="K72" s="616"/>
      <c r="L72" s="616"/>
      <c r="M72" s="616"/>
    </row>
    <row r="73" spans="2:40" x14ac:dyDescent="0.2">
      <c r="B73" s="225" t="str">
        <f t="shared" ref="B73:B89" si="7">IF(AC73="","",AC73)</f>
        <v/>
      </c>
      <c r="C73" s="211">
        <v>90</v>
      </c>
      <c r="D73" s="214" t="s">
        <v>32</v>
      </c>
      <c r="E73" s="215">
        <v>0</v>
      </c>
      <c r="F73" s="215">
        <v>100</v>
      </c>
      <c r="G73" s="219">
        <f t="shared" ref="G73:G89" si="8">F73*O73</f>
        <v>0</v>
      </c>
      <c r="H73" s="220"/>
      <c r="I73" s="226"/>
      <c r="J73" s="227"/>
      <c r="K73" s="228"/>
      <c r="L73" s="227"/>
      <c r="M73" s="228"/>
      <c r="N73" s="227"/>
      <c r="O73" s="227"/>
      <c r="P73" s="227"/>
      <c r="Q73" s="227"/>
      <c r="R73" s="227"/>
      <c r="S73" s="227"/>
      <c r="T73" s="227"/>
      <c r="U73" s="227"/>
      <c r="V73" s="227"/>
      <c r="W73" s="228"/>
      <c r="X73" s="227"/>
      <c r="Y73" s="228"/>
      <c r="Z73" s="227"/>
      <c r="AA73" s="227"/>
      <c r="AB73" s="227"/>
      <c r="AC73" s="229"/>
      <c r="AD73" s="227"/>
      <c r="AE73" s="230"/>
      <c r="AF73" s="543"/>
      <c r="AG73" s="227"/>
      <c r="AH73" s="227"/>
      <c r="AI73" s="227"/>
      <c r="AJ73" s="227"/>
      <c r="AK73" s="227"/>
      <c r="AL73" s="227"/>
      <c r="AM73" s="227"/>
      <c r="AN73" s="227"/>
    </row>
    <row r="74" spans="2:40" x14ac:dyDescent="0.2">
      <c r="B74" s="225" t="str">
        <f t="shared" si="7"/>
        <v/>
      </c>
      <c r="C74" s="211">
        <v>109</v>
      </c>
      <c r="D74" s="214" t="s">
        <v>32</v>
      </c>
      <c r="E74" s="215">
        <v>0</v>
      </c>
      <c r="F74" s="215">
        <v>100</v>
      </c>
      <c r="G74" s="219">
        <f t="shared" si="8"/>
        <v>0</v>
      </c>
      <c r="H74" s="220"/>
      <c r="I74" s="226"/>
      <c r="J74" s="227"/>
      <c r="K74" s="228"/>
      <c r="L74" s="227"/>
      <c r="M74" s="228"/>
      <c r="N74" s="227"/>
      <c r="O74" s="227"/>
      <c r="P74" s="227"/>
      <c r="Q74" s="227"/>
      <c r="R74" s="227"/>
      <c r="S74" s="227"/>
      <c r="T74" s="227"/>
      <c r="U74" s="227"/>
      <c r="V74" s="227"/>
      <c r="W74" s="228"/>
      <c r="X74" s="227"/>
      <c r="Y74" s="228"/>
      <c r="Z74" s="227"/>
      <c r="AA74" s="227"/>
      <c r="AB74" s="227"/>
      <c r="AC74" s="229"/>
      <c r="AD74" s="227"/>
      <c r="AE74" s="230"/>
      <c r="AF74" s="543"/>
      <c r="AG74" s="227"/>
      <c r="AH74" s="227"/>
      <c r="AI74" s="227"/>
      <c r="AJ74" s="227"/>
      <c r="AK74" s="227"/>
      <c r="AL74" s="227"/>
      <c r="AM74" s="227"/>
      <c r="AN74" s="227"/>
    </row>
    <row r="75" spans="2:40" x14ac:dyDescent="0.2">
      <c r="B75" s="225" t="str">
        <f t="shared" si="7"/>
        <v/>
      </c>
      <c r="C75" s="211">
        <v>117</v>
      </c>
      <c r="D75" s="214" t="s">
        <v>32</v>
      </c>
      <c r="E75" s="215">
        <v>0</v>
      </c>
      <c r="F75" s="215">
        <v>100</v>
      </c>
      <c r="G75" s="219">
        <f t="shared" si="8"/>
        <v>0</v>
      </c>
      <c r="H75" s="220"/>
      <c r="I75" s="226"/>
      <c r="J75" s="227"/>
      <c r="K75" s="228"/>
      <c r="L75" s="227"/>
      <c r="M75" s="228"/>
      <c r="N75" s="227"/>
      <c r="O75" s="227"/>
      <c r="P75" s="227"/>
      <c r="Q75" s="227"/>
      <c r="R75" s="227"/>
      <c r="S75" s="227"/>
      <c r="T75" s="227"/>
      <c r="U75" s="227"/>
      <c r="V75" s="227"/>
      <c r="W75" s="228"/>
      <c r="X75" s="227"/>
      <c r="Y75" s="228"/>
      <c r="Z75" s="227"/>
      <c r="AA75" s="227"/>
      <c r="AB75" s="227"/>
      <c r="AC75" s="229"/>
      <c r="AD75" s="227"/>
      <c r="AE75" s="230"/>
      <c r="AF75" s="543"/>
      <c r="AG75" s="227"/>
      <c r="AH75" s="227"/>
      <c r="AI75" s="227"/>
      <c r="AJ75" s="227"/>
      <c r="AK75" s="227"/>
      <c r="AL75" s="227"/>
      <c r="AM75" s="227"/>
      <c r="AN75" s="227"/>
    </row>
    <row r="76" spans="2:40" x14ac:dyDescent="0.2">
      <c r="B76" s="225" t="str">
        <f t="shared" si="7"/>
        <v/>
      </c>
      <c r="C76" s="211">
        <v>73</v>
      </c>
      <c r="D76" s="214" t="s">
        <v>32</v>
      </c>
      <c r="E76" s="215">
        <v>0</v>
      </c>
      <c r="F76" s="215">
        <v>100</v>
      </c>
      <c r="G76" s="219">
        <f t="shared" si="8"/>
        <v>0</v>
      </c>
      <c r="H76" s="220"/>
      <c r="I76" s="226"/>
      <c r="J76" s="227"/>
      <c r="K76" s="228"/>
      <c r="L76" s="227"/>
      <c r="M76" s="228"/>
      <c r="N76" s="227"/>
      <c r="O76" s="227"/>
      <c r="P76" s="227"/>
      <c r="Q76" s="227"/>
      <c r="R76" s="227"/>
      <c r="S76" s="227"/>
      <c r="T76" s="227"/>
      <c r="U76" s="227"/>
      <c r="V76" s="227"/>
      <c r="W76" s="228"/>
      <c r="X76" s="227"/>
      <c r="Y76" s="228"/>
      <c r="Z76" s="227"/>
      <c r="AA76" s="227"/>
      <c r="AB76" s="227"/>
      <c r="AC76" s="229"/>
      <c r="AD76" s="227"/>
      <c r="AE76" s="230"/>
      <c r="AF76" s="543"/>
      <c r="AG76" s="227"/>
      <c r="AH76" s="227"/>
      <c r="AI76" s="227"/>
      <c r="AJ76" s="227"/>
      <c r="AK76" s="227"/>
      <c r="AL76" s="227"/>
      <c r="AM76" s="227"/>
      <c r="AN76" s="227"/>
    </row>
    <row r="77" spans="2:40" x14ac:dyDescent="0.2">
      <c r="B77" s="225" t="str">
        <f t="shared" si="7"/>
        <v/>
      </c>
      <c r="C77" s="211">
        <v>73</v>
      </c>
      <c r="D77" s="214" t="s">
        <v>32</v>
      </c>
      <c r="E77" s="215">
        <v>0</v>
      </c>
      <c r="F77" s="215">
        <v>100</v>
      </c>
      <c r="G77" s="219">
        <f t="shared" si="8"/>
        <v>0</v>
      </c>
      <c r="H77" s="220"/>
      <c r="I77" s="226"/>
      <c r="J77" s="227"/>
      <c r="K77" s="228"/>
      <c r="L77" s="227"/>
      <c r="M77" s="228"/>
      <c r="N77" s="227"/>
      <c r="O77" s="227"/>
      <c r="P77" s="227"/>
      <c r="Q77" s="227"/>
      <c r="R77" s="227"/>
      <c r="S77" s="227"/>
      <c r="T77" s="227"/>
      <c r="U77" s="227"/>
      <c r="V77" s="227"/>
      <c r="W77" s="228"/>
      <c r="X77" s="227"/>
      <c r="Y77" s="228"/>
      <c r="Z77" s="227"/>
      <c r="AA77" s="227"/>
      <c r="AB77" s="227"/>
      <c r="AC77" s="229"/>
      <c r="AD77" s="227"/>
      <c r="AE77" s="230"/>
      <c r="AF77" s="543"/>
      <c r="AG77" s="227"/>
      <c r="AH77" s="227"/>
      <c r="AI77" s="227"/>
      <c r="AJ77" s="227"/>
      <c r="AK77" s="227"/>
      <c r="AL77" s="227"/>
      <c r="AM77" s="227"/>
      <c r="AN77" s="227"/>
    </row>
    <row r="78" spans="2:40" x14ac:dyDescent="0.2">
      <c r="B78" s="225" t="str">
        <f t="shared" si="7"/>
        <v/>
      </c>
      <c r="C78" s="211">
        <v>73</v>
      </c>
      <c r="D78" s="214" t="s">
        <v>32</v>
      </c>
      <c r="E78" s="215">
        <v>0</v>
      </c>
      <c r="F78" s="215">
        <v>100</v>
      </c>
      <c r="G78" s="219">
        <f t="shared" si="8"/>
        <v>0</v>
      </c>
      <c r="H78" s="220"/>
      <c r="I78" s="226"/>
      <c r="J78" s="227"/>
      <c r="K78" s="228"/>
      <c r="L78" s="227"/>
      <c r="M78" s="228"/>
      <c r="N78" s="227"/>
      <c r="O78" s="227"/>
      <c r="P78" s="227"/>
      <c r="Q78" s="227"/>
      <c r="R78" s="227"/>
      <c r="S78" s="227"/>
      <c r="T78" s="227"/>
      <c r="U78" s="227"/>
      <c r="V78" s="227"/>
      <c r="W78" s="228"/>
      <c r="X78" s="227"/>
      <c r="Y78" s="228"/>
      <c r="Z78" s="227"/>
      <c r="AA78" s="227"/>
      <c r="AB78" s="227"/>
      <c r="AC78" s="229"/>
      <c r="AD78" s="227"/>
      <c r="AE78" s="230"/>
      <c r="AF78" s="543"/>
      <c r="AG78" s="227"/>
      <c r="AH78" s="227"/>
      <c r="AI78" s="227"/>
      <c r="AJ78" s="227"/>
      <c r="AK78" s="227"/>
      <c r="AL78" s="227"/>
      <c r="AM78" s="227"/>
      <c r="AN78" s="227"/>
    </row>
    <row r="79" spans="2:40" x14ac:dyDescent="0.2">
      <c r="B79" s="225" t="str">
        <f t="shared" si="7"/>
        <v/>
      </c>
      <c r="C79" s="211">
        <v>73</v>
      </c>
      <c r="D79" s="214" t="s">
        <v>32</v>
      </c>
      <c r="E79" s="215">
        <v>0</v>
      </c>
      <c r="F79" s="215">
        <v>100</v>
      </c>
      <c r="G79" s="219">
        <f t="shared" si="8"/>
        <v>0</v>
      </c>
      <c r="H79" s="220"/>
      <c r="I79" s="226"/>
      <c r="J79" s="227"/>
      <c r="K79" s="228"/>
      <c r="L79" s="227"/>
      <c r="M79" s="228"/>
      <c r="N79" s="227"/>
      <c r="O79" s="227"/>
      <c r="P79" s="227"/>
      <c r="Q79" s="227"/>
      <c r="R79" s="227"/>
      <c r="S79" s="227"/>
      <c r="T79" s="227"/>
      <c r="U79" s="227"/>
      <c r="V79" s="227"/>
      <c r="W79" s="228"/>
      <c r="X79" s="227"/>
      <c r="Y79" s="228"/>
      <c r="Z79" s="227"/>
      <c r="AA79" s="227"/>
      <c r="AB79" s="227"/>
      <c r="AC79" s="229"/>
      <c r="AD79" s="227"/>
      <c r="AE79" s="230"/>
      <c r="AF79" s="543"/>
      <c r="AG79" s="227"/>
      <c r="AH79" s="227"/>
      <c r="AI79" s="227"/>
      <c r="AJ79" s="227"/>
      <c r="AK79" s="227"/>
      <c r="AL79" s="227"/>
      <c r="AM79" s="227"/>
      <c r="AN79" s="227"/>
    </row>
    <row r="80" spans="2:40" x14ac:dyDescent="0.2">
      <c r="B80" s="225" t="str">
        <f t="shared" si="7"/>
        <v/>
      </c>
      <c r="C80" s="211">
        <v>73</v>
      </c>
      <c r="D80" s="214" t="s">
        <v>32</v>
      </c>
      <c r="E80" s="212">
        <v>-1</v>
      </c>
      <c r="F80" s="215">
        <v>100</v>
      </c>
      <c r="G80" s="219">
        <f t="shared" si="8"/>
        <v>0</v>
      </c>
      <c r="H80" s="220"/>
      <c r="I80" s="226"/>
      <c r="J80" s="227"/>
      <c r="K80" s="228"/>
      <c r="L80" s="227"/>
      <c r="M80" s="228"/>
      <c r="N80" s="227"/>
      <c r="O80" s="227"/>
      <c r="P80" s="227"/>
      <c r="Q80" s="227"/>
      <c r="R80" s="227"/>
      <c r="S80" s="227"/>
      <c r="T80" s="227"/>
      <c r="U80" s="227"/>
      <c r="V80" s="227"/>
      <c r="W80" s="228"/>
      <c r="X80" s="227"/>
      <c r="Y80" s="228"/>
      <c r="Z80" s="227"/>
      <c r="AA80" s="227"/>
      <c r="AB80" s="227"/>
      <c r="AC80" s="229"/>
      <c r="AD80" s="227"/>
      <c r="AE80" s="230"/>
      <c r="AF80" s="543"/>
      <c r="AG80" s="227"/>
      <c r="AH80" s="227"/>
      <c r="AI80" s="227"/>
      <c r="AJ80" s="227"/>
      <c r="AK80" s="227"/>
      <c r="AL80" s="227"/>
      <c r="AM80" s="227"/>
      <c r="AN80" s="227"/>
    </row>
    <row r="81" spans="2:40" x14ac:dyDescent="0.2">
      <c r="B81" s="225" t="str">
        <f t="shared" si="7"/>
        <v/>
      </c>
      <c r="C81" s="211">
        <v>73</v>
      </c>
      <c r="D81" s="214" t="s">
        <v>32</v>
      </c>
      <c r="E81" s="212">
        <v>-2</v>
      </c>
      <c r="F81" s="215">
        <v>100</v>
      </c>
      <c r="G81" s="219">
        <f t="shared" si="8"/>
        <v>0</v>
      </c>
      <c r="H81" s="220"/>
      <c r="I81" s="226"/>
      <c r="J81" s="227"/>
      <c r="K81" s="228"/>
      <c r="L81" s="227"/>
      <c r="M81" s="228"/>
      <c r="N81" s="227"/>
      <c r="O81" s="227"/>
      <c r="P81" s="227"/>
      <c r="Q81" s="227"/>
      <c r="R81" s="227"/>
      <c r="S81" s="227"/>
      <c r="T81" s="227"/>
      <c r="U81" s="227"/>
      <c r="V81" s="227"/>
      <c r="W81" s="228"/>
      <c r="X81" s="227"/>
      <c r="Y81" s="228"/>
      <c r="Z81" s="227"/>
      <c r="AA81" s="227"/>
      <c r="AB81" s="227"/>
      <c r="AC81" s="229"/>
      <c r="AD81" s="227"/>
      <c r="AE81" s="230"/>
      <c r="AF81" s="543"/>
      <c r="AG81" s="227"/>
      <c r="AH81" s="227"/>
      <c r="AI81" s="227"/>
      <c r="AJ81" s="227"/>
      <c r="AK81" s="227"/>
      <c r="AL81" s="227"/>
      <c r="AM81" s="227"/>
      <c r="AN81" s="227"/>
    </row>
    <row r="82" spans="2:40" x14ac:dyDescent="0.2">
      <c r="B82" s="225" t="str">
        <f t="shared" si="7"/>
        <v/>
      </c>
      <c r="C82" s="211">
        <v>73</v>
      </c>
      <c r="D82" s="214" t="s">
        <v>32</v>
      </c>
      <c r="E82" s="212">
        <v>1</v>
      </c>
      <c r="F82" s="215">
        <v>100</v>
      </c>
      <c r="G82" s="219">
        <f t="shared" si="8"/>
        <v>0</v>
      </c>
      <c r="H82" s="220"/>
      <c r="I82" s="226"/>
      <c r="J82" s="227"/>
      <c r="K82" s="228"/>
      <c r="L82" s="227"/>
      <c r="M82" s="228"/>
      <c r="N82" s="227"/>
      <c r="O82" s="227"/>
      <c r="P82" s="227"/>
      <c r="Q82" s="227"/>
      <c r="R82" s="227"/>
      <c r="S82" s="227"/>
      <c r="T82" s="227"/>
      <c r="U82" s="227"/>
      <c r="V82" s="227"/>
      <c r="W82" s="228"/>
      <c r="X82" s="227"/>
      <c r="Y82" s="228"/>
      <c r="Z82" s="227"/>
      <c r="AA82" s="227"/>
      <c r="AB82" s="227"/>
      <c r="AC82" s="229"/>
      <c r="AD82" s="227"/>
      <c r="AE82" s="230"/>
      <c r="AF82" s="543"/>
      <c r="AG82" s="227"/>
      <c r="AH82" s="227"/>
      <c r="AI82" s="227"/>
      <c r="AJ82" s="227"/>
      <c r="AK82" s="227"/>
      <c r="AL82" s="227"/>
      <c r="AM82" s="227"/>
      <c r="AN82" s="227"/>
    </row>
    <row r="83" spans="2:40" x14ac:dyDescent="0.2">
      <c r="B83" s="225" t="str">
        <f t="shared" si="7"/>
        <v/>
      </c>
      <c r="C83" s="211">
        <v>73</v>
      </c>
      <c r="D83" s="214" t="s">
        <v>32</v>
      </c>
      <c r="E83" s="212">
        <v>2</v>
      </c>
      <c r="F83" s="215">
        <v>100</v>
      </c>
      <c r="G83" s="219">
        <f t="shared" si="8"/>
        <v>0</v>
      </c>
      <c r="H83" s="220"/>
      <c r="I83" s="226"/>
      <c r="J83" s="227"/>
      <c r="K83" s="228"/>
      <c r="L83" s="227"/>
      <c r="M83" s="228"/>
      <c r="N83" s="227"/>
      <c r="O83" s="227"/>
      <c r="P83" s="227"/>
      <c r="Q83" s="227"/>
      <c r="R83" s="227"/>
      <c r="S83" s="227"/>
      <c r="T83" s="227"/>
      <c r="U83" s="227"/>
      <c r="V83" s="227"/>
      <c r="W83" s="228"/>
      <c r="X83" s="227"/>
      <c r="Y83" s="228"/>
      <c r="Z83" s="227"/>
      <c r="AA83" s="227"/>
      <c r="AB83" s="227"/>
      <c r="AC83" s="229"/>
      <c r="AD83" s="227"/>
      <c r="AE83" s="230"/>
      <c r="AF83" s="543"/>
      <c r="AG83" s="227"/>
      <c r="AH83" s="227"/>
      <c r="AI83" s="227"/>
      <c r="AJ83" s="227"/>
      <c r="AK83" s="227"/>
      <c r="AL83" s="227"/>
      <c r="AM83" s="227"/>
      <c r="AN83" s="227"/>
    </row>
    <row r="84" spans="2:40" x14ac:dyDescent="0.2">
      <c r="B84" s="225" t="str">
        <f t="shared" si="7"/>
        <v/>
      </c>
      <c r="C84" s="211">
        <v>73</v>
      </c>
      <c r="D84" s="212" t="s">
        <v>30</v>
      </c>
      <c r="E84" s="212">
        <v>0</v>
      </c>
      <c r="F84" s="215">
        <v>100</v>
      </c>
      <c r="G84" s="219">
        <f t="shared" si="8"/>
        <v>0</v>
      </c>
      <c r="H84" s="220"/>
      <c r="I84" s="226"/>
      <c r="J84" s="227"/>
      <c r="K84" s="228"/>
      <c r="L84" s="227"/>
      <c r="M84" s="228"/>
      <c r="N84" s="227"/>
      <c r="O84" s="227"/>
      <c r="P84" s="227"/>
      <c r="Q84" s="227"/>
      <c r="R84" s="227"/>
      <c r="S84" s="227"/>
      <c r="T84" s="227"/>
      <c r="U84" s="227"/>
      <c r="V84" s="227"/>
      <c r="W84" s="228"/>
      <c r="X84" s="227"/>
      <c r="Y84" s="228"/>
      <c r="Z84" s="227"/>
      <c r="AA84" s="227"/>
      <c r="AB84" s="227"/>
      <c r="AC84" s="229"/>
      <c r="AD84" s="227"/>
      <c r="AE84" s="230"/>
      <c r="AF84" s="543"/>
      <c r="AG84" s="227"/>
      <c r="AH84" s="227"/>
      <c r="AI84" s="227"/>
      <c r="AJ84" s="227"/>
      <c r="AK84" s="227"/>
      <c r="AL84" s="227"/>
      <c r="AM84" s="227"/>
      <c r="AN84" s="227"/>
    </row>
    <row r="85" spans="2:40" x14ac:dyDescent="0.2">
      <c r="B85" s="225" t="str">
        <f t="shared" si="7"/>
        <v/>
      </c>
      <c r="C85" s="211">
        <v>73</v>
      </c>
      <c r="D85" s="214" t="s">
        <v>30</v>
      </c>
      <c r="E85" s="215">
        <v>0</v>
      </c>
      <c r="F85" s="215">
        <v>100</v>
      </c>
      <c r="G85" s="219">
        <f t="shared" si="8"/>
        <v>0</v>
      </c>
      <c r="H85" s="220"/>
      <c r="I85" s="226"/>
      <c r="J85" s="227"/>
      <c r="K85" s="228"/>
      <c r="L85" s="227"/>
      <c r="M85" s="228"/>
      <c r="N85" s="227"/>
      <c r="O85" s="227"/>
      <c r="P85" s="227"/>
      <c r="Q85" s="227"/>
      <c r="R85" s="227"/>
      <c r="S85" s="227"/>
      <c r="T85" s="227"/>
      <c r="U85" s="227"/>
      <c r="V85" s="227"/>
      <c r="W85" s="228"/>
      <c r="X85" s="227"/>
      <c r="Y85" s="228"/>
      <c r="Z85" s="227"/>
      <c r="AA85" s="227"/>
      <c r="AB85" s="227"/>
      <c r="AC85" s="229"/>
      <c r="AD85" s="227"/>
      <c r="AE85" s="230"/>
      <c r="AF85" s="543"/>
      <c r="AG85" s="227"/>
      <c r="AH85" s="227"/>
      <c r="AI85" s="227"/>
      <c r="AJ85" s="227"/>
      <c r="AK85" s="227"/>
      <c r="AL85" s="227"/>
      <c r="AM85" s="227"/>
      <c r="AN85" s="227"/>
    </row>
    <row r="86" spans="2:40" x14ac:dyDescent="0.2">
      <c r="B86" s="225" t="str">
        <f t="shared" si="7"/>
        <v/>
      </c>
      <c r="C86" s="211">
        <v>73</v>
      </c>
      <c r="D86" s="212" t="s">
        <v>31</v>
      </c>
      <c r="E86" s="215">
        <v>0</v>
      </c>
      <c r="F86" s="215">
        <v>100</v>
      </c>
      <c r="G86" s="219">
        <f t="shared" si="8"/>
        <v>0</v>
      </c>
      <c r="H86" s="220"/>
      <c r="I86" s="226"/>
      <c r="J86" s="227"/>
      <c r="K86" s="228"/>
      <c r="L86" s="227"/>
      <c r="M86" s="228"/>
      <c r="N86" s="227"/>
      <c r="O86" s="227"/>
      <c r="P86" s="227"/>
      <c r="Q86" s="227"/>
      <c r="R86" s="227"/>
      <c r="S86" s="227"/>
      <c r="T86" s="227"/>
      <c r="U86" s="227"/>
      <c r="V86" s="227"/>
      <c r="W86" s="228"/>
      <c r="X86" s="227"/>
      <c r="Y86" s="228"/>
      <c r="Z86" s="227"/>
      <c r="AA86" s="227"/>
      <c r="AB86" s="227"/>
      <c r="AC86" s="229"/>
      <c r="AD86" s="227"/>
      <c r="AE86" s="230"/>
      <c r="AF86" s="543"/>
      <c r="AG86" s="227"/>
      <c r="AH86" s="227"/>
      <c r="AI86" s="227"/>
      <c r="AJ86" s="227"/>
      <c r="AK86" s="227"/>
      <c r="AL86" s="227"/>
      <c r="AM86" s="227"/>
      <c r="AN86" s="227"/>
    </row>
    <row r="87" spans="2:40" x14ac:dyDescent="0.2">
      <c r="B87" s="225" t="str">
        <f t="shared" si="7"/>
        <v/>
      </c>
      <c r="C87" s="211">
        <v>73</v>
      </c>
      <c r="D87" s="214" t="s">
        <v>31</v>
      </c>
      <c r="E87" s="215">
        <v>0</v>
      </c>
      <c r="F87" s="215">
        <v>100</v>
      </c>
      <c r="G87" s="219">
        <f t="shared" si="8"/>
        <v>0</v>
      </c>
      <c r="H87" s="220"/>
      <c r="I87" s="226"/>
      <c r="J87" s="227"/>
      <c r="K87" s="228"/>
      <c r="L87" s="227"/>
      <c r="M87" s="228"/>
      <c r="N87" s="227"/>
      <c r="O87" s="227"/>
      <c r="P87" s="227"/>
      <c r="Q87" s="227"/>
      <c r="R87" s="227"/>
      <c r="S87" s="227"/>
      <c r="T87" s="227"/>
      <c r="U87" s="227"/>
      <c r="V87" s="227"/>
      <c r="W87" s="228"/>
      <c r="X87" s="227"/>
      <c r="Y87" s="228"/>
      <c r="Z87" s="227"/>
      <c r="AA87" s="227"/>
      <c r="AB87" s="227"/>
      <c r="AC87" s="229"/>
      <c r="AD87" s="227"/>
      <c r="AE87" s="230"/>
      <c r="AF87" s="543"/>
      <c r="AG87" s="227"/>
      <c r="AH87" s="227"/>
      <c r="AI87" s="227"/>
      <c r="AJ87" s="227"/>
      <c r="AK87" s="227"/>
      <c r="AL87" s="227"/>
      <c r="AM87" s="227"/>
      <c r="AN87" s="227"/>
    </row>
    <row r="88" spans="2:40" x14ac:dyDescent="0.2">
      <c r="B88" s="225" t="str">
        <f t="shared" si="7"/>
        <v/>
      </c>
      <c r="C88" s="211">
        <v>73</v>
      </c>
      <c r="D88" s="212" t="s">
        <v>99</v>
      </c>
      <c r="E88" s="215">
        <v>0</v>
      </c>
      <c r="F88" s="215">
        <v>100</v>
      </c>
      <c r="G88" s="219">
        <f t="shared" si="8"/>
        <v>0</v>
      </c>
      <c r="H88" s="220"/>
      <c r="I88" s="226"/>
      <c r="J88" s="227"/>
      <c r="K88" s="228"/>
      <c r="L88" s="227"/>
      <c r="M88" s="228"/>
      <c r="N88" s="227"/>
      <c r="O88" s="227"/>
      <c r="P88" s="227"/>
      <c r="Q88" s="227"/>
      <c r="R88" s="227"/>
      <c r="S88" s="227"/>
      <c r="T88" s="227"/>
      <c r="U88" s="227"/>
      <c r="V88" s="227"/>
      <c r="W88" s="228"/>
      <c r="X88" s="227"/>
      <c r="Y88" s="228"/>
      <c r="Z88" s="227"/>
      <c r="AA88" s="227"/>
      <c r="AB88" s="227"/>
      <c r="AC88" s="229"/>
      <c r="AD88" s="227"/>
      <c r="AE88" s="230"/>
      <c r="AF88" s="543"/>
      <c r="AG88" s="227"/>
      <c r="AH88" s="227"/>
      <c r="AI88" s="227"/>
      <c r="AJ88" s="227"/>
      <c r="AK88" s="227"/>
      <c r="AL88" s="227"/>
      <c r="AM88" s="227"/>
      <c r="AN88" s="227"/>
    </row>
    <row r="89" spans="2:40" x14ac:dyDescent="0.2">
      <c r="B89" s="225" t="str">
        <f t="shared" si="7"/>
        <v/>
      </c>
      <c r="C89" s="211">
        <v>73</v>
      </c>
      <c r="D89" s="214" t="s">
        <v>99</v>
      </c>
      <c r="E89" s="215">
        <v>0</v>
      </c>
      <c r="F89" s="215">
        <v>100</v>
      </c>
      <c r="G89" s="219">
        <f t="shared" si="8"/>
        <v>0</v>
      </c>
      <c r="H89" s="220"/>
      <c r="I89" s="226"/>
      <c r="J89" s="227"/>
      <c r="K89" s="228"/>
      <c r="L89" s="227"/>
      <c r="M89" s="228"/>
      <c r="N89" s="227"/>
      <c r="O89" s="227"/>
      <c r="P89" s="227"/>
      <c r="Q89" s="227"/>
      <c r="R89" s="227"/>
      <c r="S89" s="227"/>
      <c r="T89" s="227"/>
      <c r="U89" s="227"/>
      <c r="V89" s="227"/>
      <c r="W89" s="228"/>
      <c r="X89" s="227"/>
      <c r="Y89" s="228"/>
      <c r="Z89" s="227"/>
      <c r="AA89" s="227"/>
      <c r="AB89" s="227"/>
      <c r="AC89" s="229"/>
      <c r="AD89" s="227"/>
      <c r="AE89" s="230"/>
      <c r="AF89" s="543"/>
      <c r="AG89" s="227"/>
      <c r="AH89" s="227"/>
      <c r="AI89" s="227"/>
      <c r="AJ89" s="227"/>
      <c r="AK89" s="227"/>
      <c r="AL89" s="227"/>
      <c r="AM89" s="227"/>
      <c r="AN89" s="227"/>
    </row>
    <row r="90" spans="2:40" x14ac:dyDescent="0.2">
      <c r="B90" s="220"/>
      <c r="C90" s="808" t="s">
        <v>102</v>
      </c>
      <c r="D90" s="808"/>
      <c r="E90" s="808"/>
      <c r="F90" s="808"/>
      <c r="G90" s="235"/>
      <c r="H90" s="220"/>
      <c r="I90" s="676"/>
      <c r="J90" s="677"/>
      <c r="K90" s="678"/>
      <c r="L90" s="677"/>
      <c r="M90" s="678"/>
      <c r="N90" s="677"/>
      <c r="O90" s="677"/>
      <c r="P90" s="677"/>
      <c r="Q90" s="677"/>
      <c r="R90" s="677"/>
      <c r="S90" s="677"/>
      <c r="T90" s="677"/>
      <c r="U90" s="677"/>
      <c r="V90" s="677"/>
      <c r="W90" s="678"/>
      <c r="X90" s="677"/>
      <c r="Y90" s="676"/>
      <c r="Z90" s="677"/>
      <c r="AA90" s="677"/>
      <c r="AB90" s="677"/>
      <c r="AC90" s="679"/>
      <c r="AD90" s="677"/>
      <c r="AE90" s="680"/>
      <c r="AF90" s="681"/>
      <c r="AG90" s="677"/>
      <c r="AH90" s="677"/>
      <c r="AI90" s="677"/>
      <c r="AJ90" s="677"/>
      <c r="AK90" s="677"/>
      <c r="AL90" s="677"/>
      <c r="AM90" s="677"/>
      <c r="AN90" s="677"/>
    </row>
    <row r="91" spans="2:40" x14ac:dyDescent="0.2">
      <c r="B91" s="161"/>
      <c r="C91" s="220" t="s">
        <v>55</v>
      </c>
      <c r="D91" s="234" t="s">
        <v>98</v>
      </c>
      <c r="E91" s="220" t="s">
        <v>85</v>
      </c>
      <c r="F91" s="220" t="s">
        <v>77</v>
      </c>
      <c r="G91" s="220" t="s">
        <v>53</v>
      </c>
      <c r="H91" s="224"/>
      <c r="I91" s="616" t="s">
        <v>409</v>
      </c>
      <c r="J91" s="616"/>
      <c r="K91" s="616"/>
      <c r="L91" s="616"/>
    </row>
    <row r="92" spans="2:40" x14ac:dyDescent="0.2">
      <c r="B92" s="225" t="str">
        <f t="shared" ref="B92:B97" si="9">IF(AC92="","",AC92)</f>
        <v/>
      </c>
      <c r="C92" s="211">
        <v>73</v>
      </c>
      <c r="D92" s="212" t="s">
        <v>32</v>
      </c>
      <c r="E92" s="212">
        <v>0</v>
      </c>
      <c r="F92" s="215">
        <v>100</v>
      </c>
      <c r="G92" s="219">
        <f t="shared" ref="G92:G97" si="10">F92*O92</f>
        <v>0</v>
      </c>
      <c r="H92" s="220"/>
      <c r="I92" s="226"/>
      <c r="J92" s="227"/>
      <c r="K92" s="228"/>
      <c r="L92" s="227"/>
      <c r="M92" s="228"/>
      <c r="N92" s="227"/>
      <c r="O92" s="227"/>
      <c r="P92" s="227"/>
      <c r="Q92" s="227"/>
      <c r="R92" s="227"/>
      <c r="S92" s="227"/>
      <c r="T92" s="227"/>
      <c r="U92" s="227"/>
      <c r="V92" s="227"/>
      <c r="W92" s="228"/>
      <c r="X92" s="227"/>
      <c r="Y92" s="228"/>
      <c r="Z92" s="227"/>
      <c r="AA92" s="227"/>
      <c r="AB92" s="227"/>
      <c r="AC92" s="229"/>
      <c r="AD92" s="227"/>
      <c r="AE92" s="230"/>
      <c r="AF92" s="543"/>
      <c r="AG92" s="227"/>
      <c r="AH92" s="227"/>
      <c r="AI92" s="227"/>
      <c r="AJ92" s="227"/>
      <c r="AK92" s="227"/>
      <c r="AL92" s="227"/>
      <c r="AM92" s="227"/>
      <c r="AN92" s="227"/>
    </row>
    <row r="93" spans="2:40" x14ac:dyDescent="0.2">
      <c r="B93" s="225" t="str">
        <f t="shared" si="9"/>
        <v/>
      </c>
      <c r="C93" s="218">
        <v>73</v>
      </c>
      <c r="D93" s="214" t="s">
        <v>32</v>
      </c>
      <c r="E93" s="215">
        <v>0</v>
      </c>
      <c r="F93" s="215">
        <v>100</v>
      </c>
      <c r="G93" s="219">
        <f t="shared" si="10"/>
        <v>0</v>
      </c>
      <c r="H93" s="220"/>
      <c r="I93" s="226"/>
      <c r="J93" s="227"/>
      <c r="K93" s="228"/>
      <c r="L93" s="227"/>
      <c r="M93" s="228"/>
      <c r="N93" s="227"/>
      <c r="O93" s="227"/>
      <c r="P93" s="227"/>
      <c r="Q93" s="227"/>
      <c r="R93" s="227"/>
      <c r="S93" s="227"/>
      <c r="T93" s="227"/>
      <c r="U93" s="227"/>
      <c r="V93" s="227"/>
      <c r="W93" s="228"/>
      <c r="X93" s="227"/>
      <c r="Y93" s="228"/>
      <c r="Z93" s="227"/>
      <c r="AA93" s="227"/>
      <c r="AB93" s="227"/>
      <c r="AC93" s="229"/>
      <c r="AD93" s="227"/>
      <c r="AE93" s="230"/>
      <c r="AF93" s="543"/>
      <c r="AG93" s="227"/>
      <c r="AH93" s="227"/>
      <c r="AI93" s="227"/>
      <c r="AJ93" s="227"/>
      <c r="AK93" s="227"/>
      <c r="AL93" s="227"/>
      <c r="AM93" s="227"/>
      <c r="AN93" s="227"/>
    </row>
    <row r="94" spans="2:40" x14ac:dyDescent="0.2">
      <c r="B94" s="225" t="str">
        <f t="shared" si="9"/>
        <v/>
      </c>
      <c r="C94" s="211">
        <v>73</v>
      </c>
      <c r="D94" s="212" t="s">
        <v>30</v>
      </c>
      <c r="E94" s="212">
        <v>0</v>
      </c>
      <c r="F94" s="215">
        <v>100</v>
      </c>
      <c r="G94" s="219">
        <f t="shared" si="10"/>
        <v>0</v>
      </c>
      <c r="H94" s="220"/>
      <c r="I94" s="226"/>
      <c r="J94" s="227"/>
      <c r="K94" s="228"/>
      <c r="L94" s="227"/>
      <c r="M94" s="228"/>
      <c r="N94" s="227"/>
      <c r="O94" s="227"/>
      <c r="P94" s="227"/>
      <c r="Q94" s="227"/>
      <c r="R94" s="227"/>
      <c r="S94" s="227"/>
      <c r="T94" s="227"/>
      <c r="U94" s="227"/>
      <c r="V94" s="227"/>
      <c r="W94" s="228"/>
      <c r="X94" s="227"/>
      <c r="Y94" s="228"/>
      <c r="Z94" s="227"/>
      <c r="AA94" s="227"/>
      <c r="AB94" s="227"/>
      <c r="AC94" s="229"/>
      <c r="AD94" s="227"/>
      <c r="AE94" s="230"/>
      <c r="AF94" s="543"/>
      <c r="AG94" s="227"/>
      <c r="AH94" s="227"/>
      <c r="AI94" s="227"/>
      <c r="AJ94" s="227"/>
      <c r="AK94" s="227"/>
      <c r="AL94" s="227"/>
      <c r="AM94" s="227"/>
      <c r="AN94" s="227"/>
    </row>
    <row r="95" spans="2:40" x14ac:dyDescent="0.2">
      <c r="B95" s="225" t="str">
        <f t="shared" si="9"/>
        <v/>
      </c>
      <c r="C95" s="218">
        <v>73</v>
      </c>
      <c r="D95" s="214" t="s">
        <v>30</v>
      </c>
      <c r="E95" s="215">
        <v>0</v>
      </c>
      <c r="F95" s="215">
        <v>100</v>
      </c>
      <c r="G95" s="219">
        <f t="shared" si="10"/>
        <v>0</v>
      </c>
      <c r="H95" s="220"/>
      <c r="I95" s="226"/>
      <c r="J95" s="227"/>
      <c r="K95" s="228"/>
      <c r="L95" s="227"/>
      <c r="M95" s="228"/>
      <c r="N95" s="227"/>
      <c r="O95" s="227"/>
      <c r="P95" s="227"/>
      <c r="Q95" s="227"/>
      <c r="R95" s="227"/>
      <c r="S95" s="227"/>
      <c r="T95" s="227"/>
      <c r="U95" s="227"/>
      <c r="V95" s="227"/>
      <c r="W95" s="228"/>
      <c r="X95" s="227"/>
      <c r="Y95" s="228"/>
      <c r="Z95" s="227"/>
      <c r="AA95" s="227"/>
      <c r="AB95" s="227"/>
      <c r="AC95" s="229"/>
      <c r="AD95" s="227"/>
      <c r="AE95" s="230"/>
      <c r="AF95" s="543"/>
      <c r="AG95" s="227"/>
      <c r="AH95" s="227"/>
      <c r="AI95" s="227"/>
      <c r="AJ95" s="227"/>
      <c r="AK95" s="227"/>
      <c r="AL95" s="227"/>
      <c r="AM95" s="227"/>
      <c r="AN95" s="227"/>
    </row>
    <row r="96" spans="2:40" x14ac:dyDescent="0.2">
      <c r="B96" s="225" t="str">
        <f t="shared" si="9"/>
        <v/>
      </c>
      <c r="C96" s="211">
        <v>73</v>
      </c>
      <c r="D96" s="212" t="s">
        <v>31</v>
      </c>
      <c r="E96" s="212">
        <v>0</v>
      </c>
      <c r="F96" s="215">
        <v>100</v>
      </c>
      <c r="G96" s="219">
        <f t="shared" si="10"/>
        <v>0</v>
      </c>
      <c r="H96" s="220"/>
      <c r="I96" s="226"/>
      <c r="J96" s="227"/>
      <c r="K96" s="228"/>
      <c r="L96" s="227"/>
      <c r="M96" s="228"/>
      <c r="N96" s="227"/>
      <c r="O96" s="227"/>
      <c r="P96" s="227"/>
      <c r="Q96" s="227"/>
      <c r="R96" s="227"/>
      <c r="S96" s="227"/>
      <c r="T96" s="227"/>
      <c r="U96" s="227"/>
      <c r="V96" s="227"/>
      <c r="W96" s="228"/>
      <c r="X96" s="227"/>
      <c r="Y96" s="228"/>
      <c r="Z96" s="227"/>
      <c r="AA96" s="227"/>
      <c r="AB96" s="227"/>
      <c r="AC96" s="229"/>
      <c r="AD96" s="227"/>
      <c r="AE96" s="230"/>
      <c r="AF96" s="543"/>
      <c r="AG96" s="227"/>
      <c r="AH96" s="227"/>
      <c r="AI96" s="227"/>
      <c r="AJ96" s="227"/>
      <c r="AK96" s="227"/>
      <c r="AL96" s="227"/>
      <c r="AM96" s="227"/>
      <c r="AN96" s="227"/>
    </row>
    <row r="97" spans="2:40" x14ac:dyDescent="0.2">
      <c r="B97" s="225" t="str">
        <f t="shared" si="9"/>
        <v/>
      </c>
      <c r="C97" s="218">
        <v>73</v>
      </c>
      <c r="D97" s="214" t="s">
        <v>31</v>
      </c>
      <c r="E97" s="215">
        <v>0</v>
      </c>
      <c r="F97" s="215">
        <v>100</v>
      </c>
      <c r="G97" s="219">
        <f t="shared" si="10"/>
        <v>0</v>
      </c>
      <c r="H97" s="220"/>
      <c r="I97" s="226"/>
      <c r="J97" s="227"/>
      <c r="K97" s="228"/>
      <c r="L97" s="227"/>
      <c r="M97" s="228"/>
      <c r="N97" s="227"/>
      <c r="O97" s="227"/>
      <c r="P97" s="227"/>
      <c r="Q97" s="227"/>
      <c r="R97" s="227"/>
      <c r="S97" s="227"/>
      <c r="T97" s="227"/>
      <c r="U97" s="227"/>
      <c r="V97" s="227"/>
      <c r="W97" s="228"/>
      <c r="X97" s="227"/>
      <c r="Y97" s="228"/>
      <c r="Z97" s="227"/>
      <c r="AA97" s="227"/>
      <c r="AB97" s="227"/>
      <c r="AC97" s="229"/>
      <c r="AD97" s="227"/>
      <c r="AE97" s="230"/>
      <c r="AF97" s="543"/>
      <c r="AG97" s="227"/>
      <c r="AH97" s="227"/>
      <c r="AI97" s="227"/>
      <c r="AJ97" s="227"/>
      <c r="AK97" s="227"/>
      <c r="AL97" s="227"/>
      <c r="AM97" s="227"/>
      <c r="AN97" s="227"/>
    </row>
    <row r="99" spans="2:40" s="236" customFormat="1" ht="13.5" thickBot="1" x14ac:dyDescent="0.25">
      <c r="C99" s="237"/>
      <c r="D99" s="237"/>
      <c r="E99" s="237"/>
      <c r="F99" s="237"/>
      <c r="G99" s="237"/>
      <c r="H99" s="237"/>
    </row>
    <row r="100" spans="2:40" s="222" customFormat="1" x14ac:dyDescent="0.2">
      <c r="B100" s="595"/>
      <c r="C100" s="234"/>
      <c r="D100" s="234"/>
      <c r="E100" s="234"/>
      <c r="F100" s="234"/>
      <c r="G100" s="234"/>
      <c r="H100" s="234"/>
      <c r="I100" s="595"/>
    </row>
    <row r="101" spans="2:40" s="209" customFormat="1" x14ac:dyDescent="0.2">
      <c r="B101" s="616" t="s">
        <v>378</v>
      </c>
      <c r="C101" s="617"/>
      <c r="D101" s="623"/>
      <c r="E101" s="623"/>
      <c r="F101" s="623"/>
      <c r="G101" s="623"/>
      <c r="H101" s="623"/>
      <c r="I101" s="163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</row>
    <row r="102" spans="2:40" s="209" customFormat="1" x14ac:dyDescent="0.2">
      <c r="B102" s="624" t="str">
        <f t="shared" ref="B102" si="11">IF(AC102="","",AC102)</f>
        <v/>
      </c>
      <c r="C102" s="211">
        <v>73</v>
      </c>
      <c r="D102" s="212" t="s">
        <v>99</v>
      </c>
      <c r="E102" s="212">
        <v>0</v>
      </c>
      <c r="F102" s="212">
        <v>100</v>
      </c>
      <c r="G102" s="219">
        <f>F102*O102</f>
        <v>0</v>
      </c>
      <c r="H102" s="234"/>
      <c r="I102" s="625"/>
      <c r="J102" s="227"/>
      <c r="K102" s="228"/>
      <c r="L102" s="227"/>
      <c r="M102" s="228"/>
      <c r="N102" s="227"/>
      <c r="O102" s="227"/>
      <c r="P102" s="227"/>
      <c r="Q102" s="227"/>
      <c r="R102" s="227"/>
      <c r="S102" s="227"/>
      <c r="T102" s="227"/>
      <c r="U102" s="227"/>
      <c r="V102" s="227"/>
      <c r="W102" s="228"/>
      <c r="X102" s="227"/>
      <c r="Y102" s="228"/>
      <c r="Z102" s="227"/>
      <c r="AA102" s="227"/>
      <c r="AB102" s="227"/>
      <c r="AC102" s="229"/>
      <c r="AD102" s="227"/>
      <c r="AE102" s="230"/>
      <c r="AF102" s="543"/>
      <c r="AG102" s="227"/>
      <c r="AH102" s="227"/>
      <c r="AI102" s="227"/>
      <c r="AJ102" s="227"/>
      <c r="AK102" s="227"/>
      <c r="AL102" s="227"/>
      <c r="AM102" s="227"/>
      <c r="AN102" s="227"/>
    </row>
    <row r="103" spans="2:40" s="209" customFormat="1" x14ac:dyDescent="0.2">
      <c r="B103" s="626"/>
      <c r="C103" s="627"/>
      <c r="D103" s="627"/>
      <c r="E103" s="627"/>
      <c r="F103" s="627"/>
      <c r="G103" s="627"/>
      <c r="H103" s="627"/>
      <c r="I103" s="626"/>
    </row>
    <row r="104" spans="2:40" s="209" customFormat="1" x14ac:dyDescent="0.2">
      <c r="B104" s="618" t="s">
        <v>379</v>
      </c>
      <c r="C104" s="627"/>
      <c r="D104" s="627"/>
      <c r="E104" s="627"/>
      <c r="F104" s="627"/>
      <c r="G104" s="627"/>
      <c r="H104" s="627"/>
      <c r="I104" s="626"/>
    </row>
    <row r="105" spans="2:40" s="209" customFormat="1" x14ac:dyDescent="0.2">
      <c r="B105" s="624" t="str">
        <f t="shared" ref="B105" si="12">IF(AC105="","",AC105)</f>
        <v/>
      </c>
      <c r="C105" s="211">
        <v>73</v>
      </c>
      <c r="D105" s="212" t="s">
        <v>99</v>
      </c>
      <c r="E105" s="212">
        <v>0</v>
      </c>
      <c r="F105" s="212">
        <v>100</v>
      </c>
      <c r="G105" s="219">
        <f t="shared" ref="G105" si="13">F105*O105</f>
        <v>0</v>
      </c>
      <c r="H105" s="234"/>
      <c r="I105" s="625"/>
      <c r="J105" s="227"/>
      <c r="K105" s="228"/>
      <c r="L105" s="227"/>
      <c r="M105" s="228"/>
      <c r="N105" s="227"/>
      <c r="O105" s="227"/>
      <c r="P105" s="227"/>
      <c r="Q105" s="227"/>
      <c r="R105" s="227"/>
      <c r="S105" s="227"/>
      <c r="T105" s="227"/>
      <c r="U105" s="227"/>
      <c r="V105" s="227"/>
      <c r="W105" s="228"/>
      <c r="X105" s="227"/>
      <c r="Y105" s="228"/>
      <c r="Z105" s="227"/>
      <c r="AA105" s="227"/>
      <c r="AB105" s="227"/>
      <c r="AC105" s="229"/>
      <c r="AD105" s="227"/>
      <c r="AE105" s="230"/>
      <c r="AF105" s="543"/>
      <c r="AG105" s="227"/>
      <c r="AH105" s="227"/>
      <c r="AI105" s="227"/>
      <c r="AJ105" s="227"/>
      <c r="AK105" s="227"/>
      <c r="AL105" s="227"/>
      <c r="AM105" s="227"/>
      <c r="AN105" s="227"/>
    </row>
    <row r="106" spans="2:40" s="209" customFormat="1" x14ac:dyDescent="0.2">
      <c r="B106" s="626"/>
      <c r="C106" s="627"/>
      <c r="D106" s="627"/>
      <c r="E106" s="627"/>
      <c r="F106" s="627"/>
      <c r="G106" s="627"/>
      <c r="H106" s="627"/>
      <c r="I106" s="626"/>
    </row>
    <row r="107" spans="2:40" s="209" customFormat="1" x14ac:dyDescent="0.2">
      <c r="B107" s="626"/>
      <c r="C107" s="627"/>
      <c r="D107" s="627"/>
      <c r="E107" s="627"/>
      <c r="F107" s="627"/>
      <c r="G107" s="627"/>
      <c r="H107" s="627"/>
      <c r="I107" s="626"/>
    </row>
    <row r="108" spans="2:40" s="209" customFormat="1" x14ac:dyDescent="0.2">
      <c r="B108" s="626"/>
      <c r="C108" s="627"/>
      <c r="D108" s="627"/>
      <c r="E108" s="627"/>
      <c r="F108" s="627"/>
      <c r="G108" s="627"/>
      <c r="H108" s="627"/>
      <c r="I108" s="626"/>
    </row>
    <row r="109" spans="2:40" s="209" customFormat="1" x14ac:dyDescent="0.2">
      <c r="B109" s="626"/>
      <c r="C109" s="627"/>
      <c r="D109" s="627"/>
      <c r="E109" s="627"/>
      <c r="F109" s="627"/>
      <c r="G109" s="627"/>
      <c r="H109" s="627"/>
      <c r="I109" s="626"/>
    </row>
    <row r="110" spans="2:40" s="209" customFormat="1" x14ac:dyDescent="0.2">
      <c r="B110" s="626"/>
      <c r="C110" s="627"/>
      <c r="D110" s="627"/>
      <c r="E110" s="627"/>
      <c r="F110" s="627"/>
      <c r="G110" s="627"/>
      <c r="H110" s="627"/>
      <c r="I110" s="626"/>
    </row>
    <row r="111" spans="2:40" s="209" customFormat="1" x14ac:dyDescent="0.2">
      <c r="B111" s="626"/>
      <c r="C111" s="627"/>
      <c r="D111" s="627"/>
      <c r="E111" s="627"/>
      <c r="F111" s="627"/>
      <c r="G111" s="627"/>
      <c r="H111" s="627"/>
      <c r="I111" s="626"/>
    </row>
    <row r="112" spans="2:40" s="209" customFormat="1" x14ac:dyDescent="0.2">
      <c r="C112" s="210"/>
      <c r="D112" s="210"/>
      <c r="E112" s="210"/>
      <c r="F112" s="210"/>
      <c r="G112" s="210"/>
      <c r="H112" s="210"/>
    </row>
    <row r="113" spans="3:8" s="209" customFormat="1" x14ac:dyDescent="0.2">
      <c r="C113" s="210"/>
      <c r="D113" s="210"/>
      <c r="E113" s="210"/>
      <c r="F113" s="210"/>
      <c r="G113" s="210"/>
      <c r="H113" s="210"/>
    </row>
    <row r="114" spans="3:8" s="209" customFormat="1" x14ac:dyDescent="0.2">
      <c r="C114" s="210"/>
      <c r="D114" s="210"/>
      <c r="E114" s="210"/>
      <c r="F114" s="210"/>
      <c r="G114" s="210"/>
      <c r="H114" s="210"/>
    </row>
    <row r="115" spans="3:8" s="209" customFormat="1" x14ac:dyDescent="0.2">
      <c r="C115" s="210"/>
      <c r="D115" s="210"/>
      <c r="E115" s="210"/>
      <c r="F115" s="210"/>
      <c r="G115" s="210"/>
      <c r="H115" s="210"/>
    </row>
    <row r="116" spans="3:8" s="209" customFormat="1" x14ac:dyDescent="0.2">
      <c r="C116" s="210"/>
      <c r="D116" s="210"/>
      <c r="E116" s="210"/>
      <c r="F116" s="210"/>
      <c r="G116" s="210"/>
      <c r="H116" s="210"/>
    </row>
    <row r="117" spans="3:8" s="209" customFormat="1" x14ac:dyDescent="0.2">
      <c r="C117" s="210"/>
      <c r="D117" s="210"/>
      <c r="E117" s="210"/>
      <c r="F117" s="210"/>
      <c r="G117" s="210"/>
      <c r="H117" s="210"/>
    </row>
    <row r="118" spans="3:8" s="209" customFormat="1" x14ac:dyDescent="0.2">
      <c r="C118" s="210"/>
      <c r="D118" s="210"/>
      <c r="E118" s="210"/>
      <c r="F118" s="210"/>
      <c r="G118" s="210"/>
      <c r="H118" s="210"/>
    </row>
    <row r="119" spans="3:8" s="209" customFormat="1" x14ac:dyDescent="0.2">
      <c r="C119" s="210"/>
      <c r="D119" s="210"/>
      <c r="E119" s="210"/>
      <c r="F119" s="210"/>
      <c r="G119" s="210"/>
      <c r="H119" s="210"/>
    </row>
    <row r="120" spans="3:8" s="209" customFormat="1" x14ac:dyDescent="0.2">
      <c r="C120" s="210"/>
      <c r="D120" s="210"/>
      <c r="E120" s="210"/>
      <c r="F120" s="210"/>
      <c r="G120" s="210"/>
      <c r="H120" s="210"/>
    </row>
    <row r="121" spans="3:8" s="209" customFormat="1" x14ac:dyDescent="0.2">
      <c r="C121" s="210"/>
      <c r="D121" s="210"/>
      <c r="E121" s="210"/>
      <c r="F121" s="210"/>
      <c r="G121" s="210"/>
      <c r="H121" s="210"/>
    </row>
    <row r="122" spans="3:8" s="209" customFormat="1" x14ac:dyDescent="0.2">
      <c r="C122" s="210"/>
      <c r="D122" s="210"/>
      <c r="E122" s="210"/>
      <c r="F122" s="210"/>
      <c r="G122" s="210"/>
      <c r="H122" s="210"/>
    </row>
    <row r="123" spans="3:8" s="209" customFormat="1" x14ac:dyDescent="0.2">
      <c r="C123" s="210"/>
      <c r="D123" s="210"/>
      <c r="E123" s="210"/>
      <c r="F123" s="210"/>
      <c r="G123" s="210"/>
      <c r="H123" s="210"/>
    </row>
    <row r="124" spans="3:8" s="209" customFormat="1" x14ac:dyDescent="0.2">
      <c r="C124" s="210"/>
      <c r="D124" s="210"/>
      <c r="E124" s="210"/>
      <c r="F124" s="210"/>
      <c r="G124" s="210"/>
      <c r="H124" s="210"/>
    </row>
    <row r="125" spans="3:8" s="209" customFormat="1" x14ac:dyDescent="0.2">
      <c r="C125" s="210"/>
      <c r="D125" s="210"/>
      <c r="E125" s="210"/>
      <c r="F125" s="210"/>
      <c r="G125" s="210"/>
      <c r="H125" s="210"/>
    </row>
    <row r="126" spans="3:8" s="209" customFormat="1" x14ac:dyDescent="0.2">
      <c r="C126" s="210"/>
      <c r="D126" s="210"/>
      <c r="E126" s="210"/>
      <c r="F126" s="210"/>
      <c r="G126" s="210"/>
      <c r="H126" s="210"/>
    </row>
    <row r="127" spans="3:8" s="209" customFormat="1" x14ac:dyDescent="0.2">
      <c r="C127" s="210"/>
      <c r="D127" s="210"/>
      <c r="E127" s="210"/>
      <c r="F127" s="210"/>
      <c r="G127" s="210"/>
      <c r="H127" s="210"/>
    </row>
    <row r="128" spans="3:8" s="209" customFormat="1" x14ac:dyDescent="0.2">
      <c r="C128" s="210"/>
      <c r="D128" s="210"/>
      <c r="E128" s="210"/>
      <c r="F128" s="210"/>
      <c r="G128" s="210"/>
      <c r="H128" s="210"/>
    </row>
    <row r="129" spans="3:8" s="209" customFormat="1" x14ac:dyDescent="0.2">
      <c r="C129" s="210"/>
      <c r="D129" s="210"/>
      <c r="E129" s="210"/>
      <c r="F129" s="210"/>
      <c r="G129" s="210"/>
      <c r="H129" s="210"/>
    </row>
    <row r="130" spans="3:8" s="209" customFormat="1" x14ac:dyDescent="0.2">
      <c r="C130" s="210"/>
      <c r="D130" s="210"/>
      <c r="E130" s="210"/>
      <c r="F130" s="210"/>
      <c r="G130" s="210"/>
      <c r="H130" s="210"/>
    </row>
    <row r="131" spans="3:8" s="209" customFormat="1" x14ac:dyDescent="0.2">
      <c r="C131" s="210"/>
      <c r="D131" s="210"/>
      <c r="E131" s="210"/>
      <c r="F131" s="210"/>
      <c r="G131" s="210"/>
      <c r="H131" s="210"/>
    </row>
    <row r="132" spans="3:8" s="209" customFormat="1" x14ac:dyDescent="0.2">
      <c r="C132" s="210"/>
      <c r="D132" s="210"/>
      <c r="E132" s="210"/>
      <c r="F132" s="210"/>
      <c r="G132" s="210"/>
      <c r="H132" s="210"/>
    </row>
    <row r="133" spans="3:8" s="209" customFormat="1" x14ac:dyDescent="0.2">
      <c r="C133" s="210"/>
      <c r="D133" s="210"/>
      <c r="E133" s="210"/>
      <c r="F133" s="210"/>
      <c r="G133" s="210"/>
      <c r="H133" s="210"/>
    </row>
    <row r="134" spans="3:8" s="209" customFormat="1" x14ac:dyDescent="0.2">
      <c r="C134" s="210"/>
      <c r="D134" s="210"/>
      <c r="E134" s="210"/>
      <c r="F134" s="210"/>
      <c r="G134" s="210"/>
      <c r="H134" s="210"/>
    </row>
    <row r="135" spans="3:8" s="209" customFormat="1" x14ac:dyDescent="0.2">
      <c r="C135" s="210"/>
      <c r="D135" s="210"/>
      <c r="E135" s="210"/>
      <c r="F135" s="210"/>
      <c r="G135" s="210"/>
      <c r="H135" s="210"/>
    </row>
    <row r="136" spans="3:8" s="209" customFormat="1" x14ac:dyDescent="0.2">
      <c r="C136" s="210"/>
      <c r="D136" s="210"/>
      <c r="E136" s="210"/>
      <c r="F136" s="210"/>
      <c r="G136" s="210"/>
      <c r="H136" s="210"/>
    </row>
    <row r="137" spans="3:8" s="209" customFormat="1" x14ac:dyDescent="0.2">
      <c r="C137" s="210"/>
      <c r="D137" s="210"/>
      <c r="E137" s="210"/>
      <c r="F137" s="210"/>
      <c r="G137" s="210"/>
      <c r="H137" s="210"/>
    </row>
    <row r="138" spans="3:8" s="209" customFormat="1" x14ac:dyDescent="0.2">
      <c r="C138" s="210"/>
      <c r="D138" s="210"/>
      <c r="E138" s="210"/>
      <c r="F138" s="210"/>
      <c r="G138" s="210"/>
      <c r="H138" s="210"/>
    </row>
    <row r="139" spans="3:8" s="209" customFormat="1" x14ac:dyDescent="0.2">
      <c r="C139" s="210"/>
      <c r="D139" s="210"/>
      <c r="E139" s="210"/>
      <c r="F139" s="210"/>
      <c r="G139" s="210"/>
      <c r="H139" s="210"/>
    </row>
    <row r="140" spans="3:8" s="209" customFormat="1" x14ac:dyDescent="0.2">
      <c r="C140" s="210"/>
      <c r="D140" s="210"/>
      <c r="E140" s="210"/>
      <c r="F140" s="210"/>
      <c r="G140" s="210"/>
      <c r="H140" s="210"/>
    </row>
    <row r="141" spans="3:8" s="209" customFormat="1" x14ac:dyDescent="0.2">
      <c r="C141" s="210"/>
      <c r="D141" s="210"/>
      <c r="E141" s="210"/>
      <c r="F141" s="210"/>
      <c r="G141" s="210"/>
      <c r="H141" s="210"/>
    </row>
    <row r="142" spans="3:8" s="209" customFormat="1" x14ac:dyDescent="0.2">
      <c r="C142" s="210"/>
      <c r="D142" s="210"/>
      <c r="E142" s="210"/>
      <c r="F142" s="210"/>
      <c r="G142" s="210"/>
      <c r="H142" s="210"/>
    </row>
    <row r="143" spans="3:8" s="209" customFormat="1" x14ac:dyDescent="0.2">
      <c r="C143" s="210"/>
      <c r="D143" s="210"/>
      <c r="E143" s="210"/>
      <c r="F143" s="210"/>
      <c r="G143" s="210"/>
      <c r="H143" s="210"/>
    </row>
    <row r="144" spans="3:8" s="209" customFormat="1" x14ac:dyDescent="0.2">
      <c r="C144" s="210"/>
      <c r="D144" s="210"/>
      <c r="E144" s="210"/>
      <c r="F144" s="210"/>
      <c r="G144" s="210"/>
      <c r="H144" s="210"/>
    </row>
    <row r="145" spans="3:8" s="209" customFormat="1" x14ac:dyDescent="0.2">
      <c r="C145" s="210"/>
      <c r="D145" s="210"/>
      <c r="E145" s="210"/>
      <c r="F145" s="210"/>
      <c r="G145" s="210"/>
      <c r="H145" s="210"/>
    </row>
    <row r="146" spans="3:8" s="209" customFormat="1" x14ac:dyDescent="0.2">
      <c r="C146" s="210"/>
      <c r="D146" s="210"/>
      <c r="E146" s="210"/>
      <c r="F146" s="210"/>
      <c r="G146" s="210"/>
      <c r="H146" s="210"/>
    </row>
    <row r="147" spans="3:8" s="209" customFormat="1" x14ac:dyDescent="0.2">
      <c r="C147" s="210"/>
      <c r="D147" s="210"/>
      <c r="E147" s="210"/>
      <c r="F147" s="210"/>
      <c r="G147" s="210"/>
      <c r="H147" s="210"/>
    </row>
    <row r="148" spans="3:8" s="209" customFormat="1" x14ac:dyDescent="0.2">
      <c r="C148" s="210"/>
      <c r="D148" s="210"/>
      <c r="E148" s="210"/>
      <c r="F148" s="210"/>
      <c r="G148" s="210"/>
      <c r="H148" s="210"/>
    </row>
    <row r="149" spans="3:8" s="209" customFormat="1" x14ac:dyDescent="0.2">
      <c r="C149" s="210"/>
      <c r="D149" s="210"/>
      <c r="E149" s="210"/>
      <c r="F149" s="210"/>
      <c r="G149" s="210"/>
      <c r="H149" s="210"/>
    </row>
    <row r="150" spans="3:8" s="209" customFormat="1" x14ac:dyDescent="0.2">
      <c r="C150" s="210"/>
      <c r="D150" s="210"/>
      <c r="E150" s="210"/>
      <c r="F150" s="210"/>
      <c r="G150" s="210"/>
      <c r="H150" s="210"/>
    </row>
    <row r="151" spans="3:8" s="209" customFormat="1" x14ac:dyDescent="0.2">
      <c r="C151" s="210"/>
      <c r="D151" s="210"/>
      <c r="E151" s="210"/>
      <c r="F151" s="210"/>
      <c r="G151" s="210"/>
      <c r="H151" s="210"/>
    </row>
    <row r="152" spans="3:8" s="209" customFormat="1" x14ac:dyDescent="0.2">
      <c r="C152" s="210"/>
      <c r="D152" s="210"/>
      <c r="E152" s="210"/>
      <c r="F152" s="210"/>
      <c r="G152" s="210"/>
      <c r="H152" s="210"/>
    </row>
    <row r="153" spans="3:8" s="209" customFormat="1" x14ac:dyDescent="0.2">
      <c r="C153" s="210"/>
      <c r="D153" s="210"/>
      <c r="E153" s="210"/>
      <c r="F153" s="210"/>
      <c r="G153" s="210"/>
      <c r="H153" s="210"/>
    </row>
    <row r="154" spans="3:8" s="209" customFormat="1" x14ac:dyDescent="0.2">
      <c r="C154" s="210"/>
      <c r="D154" s="210"/>
      <c r="E154" s="210"/>
      <c r="F154" s="210"/>
      <c r="G154" s="210"/>
      <c r="H154" s="210"/>
    </row>
    <row r="155" spans="3:8" s="209" customFormat="1" x14ac:dyDescent="0.2">
      <c r="C155" s="210"/>
      <c r="D155" s="210"/>
      <c r="E155" s="210"/>
      <c r="F155" s="210"/>
      <c r="G155" s="210"/>
      <c r="H155" s="210"/>
    </row>
    <row r="156" spans="3:8" s="209" customFormat="1" x14ac:dyDescent="0.2">
      <c r="C156" s="210"/>
      <c r="D156" s="210"/>
      <c r="E156" s="210"/>
      <c r="F156" s="210"/>
      <c r="G156" s="210"/>
      <c r="H156" s="210"/>
    </row>
    <row r="157" spans="3:8" s="209" customFormat="1" x14ac:dyDescent="0.2">
      <c r="C157" s="210"/>
      <c r="D157" s="210"/>
      <c r="E157" s="210"/>
      <c r="F157" s="210"/>
      <c r="G157" s="210"/>
      <c r="H157" s="210"/>
    </row>
    <row r="158" spans="3:8" s="209" customFormat="1" x14ac:dyDescent="0.2">
      <c r="C158" s="210"/>
      <c r="D158" s="210"/>
      <c r="E158" s="210"/>
      <c r="F158" s="210"/>
      <c r="G158" s="210"/>
      <c r="H158" s="210"/>
    </row>
    <row r="159" spans="3:8" s="209" customFormat="1" x14ac:dyDescent="0.2">
      <c r="C159" s="210"/>
      <c r="D159" s="210"/>
      <c r="E159" s="210"/>
      <c r="F159" s="210"/>
      <c r="G159" s="210"/>
      <c r="H159" s="210"/>
    </row>
  </sheetData>
  <protectedRanges>
    <protectedRange sqref="C65:G70 C92:G97 C46:G62 C73:G89 C7:G43" name="Område1"/>
    <protectedRange sqref="C102:G102 C105:G105" name="Område1_1"/>
  </protectedRanges>
  <mergeCells count="10">
    <mergeCell ref="C90:F90"/>
    <mergeCell ref="C44:F44"/>
    <mergeCell ref="C71:F71"/>
    <mergeCell ref="I2:N2"/>
    <mergeCell ref="C3:D3"/>
    <mergeCell ref="I3:N3"/>
    <mergeCell ref="C4:G4"/>
    <mergeCell ref="C5:G5"/>
    <mergeCell ref="I5:O6"/>
    <mergeCell ref="C63:F6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workbookViewId="0">
      <selection activeCell="G54" sqref="G54"/>
    </sheetView>
  </sheetViews>
  <sheetFormatPr baseColWidth="10" defaultRowHeight="12.75" x14ac:dyDescent="0.2"/>
  <cols>
    <col min="2" max="2" width="13.5703125" customWidth="1"/>
    <col min="3" max="3" width="13.140625" customWidth="1"/>
    <col min="7" max="7" width="30.7109375" customWidth="1"/>
  </cols>
  <sheetData>
    <row r="1" spans="2:11" ht="13.5" thickBot="1" x14ac:dyDescent="0.25"/>
    <row r="2" spans="2:11" x14ac:dyDescent="0.2">
      <c r="B2" s="790" t="s">
        <v>392</v>
      </c>
      <c r="C2" s="791"/>
      <c r="D2" s="791"/>
      <c r="E2" s="791"/>
      <c r="F2" s="791"/>
      <c r="G2" s="792"/>
      <c r="H2" s="517"/>
      <c r="I2" s="517"/>
      <c r="J2" s="517"/>
      <c r="K2" s="517"/>
    </row>
    <row r="3" spans="2:11" x14ac:dyDescent="0.2">
      <c r="B3" s="631"/>
      <c r="C3" s="274"/>
      <c r="D3" s="274"/>
      <c r="E3" s="274"/>
      <c r="F3" s="274"/>
      <c r="G3" s="632"/>
      <c r="H3" s="517"/>
      <c r="I3" s="517"/>
      <c r="J3" s="517"/>
      <c r="K3" s="517"/>
    </row>
    <row r="4" spans="2:11" x14ac:dyDescent="0.2">
      <c r="B4" s="633" t="s">
        <v>388</v>
      </c>
      <c r="C4" s="634" t="s">
        <v>389</v>
      </c>
      <c r="D4" s="634" t="s">
        <v>53</v>
      </c>
      <c r="E4" s="634" t="s">
        <v>390</v>
      </c>
      <c r="F4" s="274"/>
      <c r="G4" s="632"/>
      <c r="H4" s="517"/>
      <c r="I4" s="517"/>
      <c r="J4" s="517"/>
      <c r="K4" s="517"/>
    </row>
    <row r="5" spans="2:11" x14ac:dyDescent="0.2">
      <c r="B5" s="635" t="s">
        <v>30</v>
      </c>
      <c r="C5" s="636" t="s">
        <v>31</v>
      </c>
      <c r="D5" s="646"/>
      <c r="E5" s="647"/>
      <c r="F5" s="274"/>
      <c r="G5" s="632"/>
      <c r="H5" s="517"/>
      <c r="I5" s="517"/>
      <c r="J5" s="517"/>
      <c r="K5" s="517"/>
    </row>
    <row r="6" spans="2:11" x14ac:dyDescent="0.2">
      <c r="B6" s="635" t="s">
        <v>30</v>
      </c>
      <c r="C6" s="636" t="s">
        <v>30</v>
      </c>
      <c r="D6" s="647"/>
      <c r="E6" s="647"/>
      <c r="F6" s="274"/>
      <c r="G6" s="632"/>
      <c r="H6" s="517"/>
      <c r="I6" s="517"/>
      <c r="J6" s="517"/>
      <c r="K6" s="517"/>
    </row>
    <row r="7" spans="2:11" x14ac:dyDescent="0.2">
      <c r="B7" s="635" t="s">
        <v>32</v>
      </c>
      <c r="C7" s="636" t="s">
        <v>32</v>
      </c>
      <c r="D7" s="647"/>
      <c r="E7" s="647"/>
      <c r="F7" s="274"/>
      <c r="G7" s="632"/>
      <c r="H7" s="517"/>
      <c r="I7" s="517"/>
      <c r="J7" s="517"/>
      <c r="K7" s="517"/>
    </row>
    <row r="8" spans="2:11" x14ac:dyDescent="0.2">
      <c r="B8" s="638"/>
      <c r="C8" s="637"/>
      <c r="D8" s="647"/>
      <c r="E8" s="197"/>
      <c r="F8" s="274"/>
      <c r="G8" s="632"/>
      <c r="H8" s="517"/>
      <c r="I8" s="517"/>
      <c r="J8" s="517"/>
      <c r="K8" s="517"/>
    </row>
    <row r="9" spans="2:11" x14ac:dyDescent="0.2">
      <c r="B9" s="638"/>
      <c r="C9" s="637"/>
      <c r="D9" s="647"/>
      <c r="E9" s="197"/>
      <c r="F9" s="274"/>
      <c r="G9" s="632"/>
      <c r="H9" s="517"/>
      <c r="I9" s="517"/>
      <c r="J9" s="517"/>
      <c r="K9" s="517"/>
    </row>
    <row r="10" spans="2:11" x14ac:dyDescent="0.2">
      <c r="B10" s="638"/>
      <c r="C10" s="637"/>
      <c r="D10" s="647"/>
      <c r="E10" s="197"/>
      <c r="F10" s="274"/>
      <c r="G10" s="632"/>
      <c r="H10" s="517"/>
      <c r="I10" s="517"/>
      <c r="J10" s="517"/>
      <c r="K10" s="517"/>
    </row>
    <row r="11" spans="2:11" x14ac:dyDescent="0.2">
      <c r="B11" s="638"/>
      <c r="C11" s="637"/>
      <c r="D11" s="647"/>
      <c r="E11" s="197"/>
      <c r="F11" s="274"/>
      <c r="G11" s="632"/>
      <c r="H11" s="517"/>
      <c r="I11" s="517"/>
      <c r="J11" s="517"/>
      <c r="K11" s="517"/>
    </row>
    <row r="12" spans="2:11" x14ac:dyDescent="0.2">
      <c r="B12" s="631"/>
      <c r="C12" s="274"/>
      <c r="D12" s="197"/>
      <c r="E12" s="197"/>
      <c r="F12" s="274"/>
      <c r="G12" s="632"/>
      <c r="H12" s="517"/>
      <c r="I12" s="517"/>
      <c r="J12" s="517"/>
      <c r="K12" s="517"/>
    </row>
    <row r="13" spans="2:11" x14ac:dyDescent="0.2">
      <c r="B13" s="631"/>
      <c r="C13" s="274"/>
      <c r="D13" s="197"/>
      <c r="E13" s="197"/>
      <c r="F13" s="274"/>
      <c r="G13" s="632"/>
      <c r="H13" s="517"/>
      <c r="I13" s="517"/>
      <c r="J13" s="517"/>
      <c r="K13" s="517"/>
    </row>
    <row r="14" spans="2:11" x14ac:dyDescent="0.2">
      <c r="B14" s="635" t="s">
        <v>31</v>
      </c>
      <c r="C14" s="636" t="s">
        <v>31</v>
      </c>
      <c r="D14" s="647"/>
      <c r="E14" s="647"/>
      <c r="F14" s="274"/>
      <c r="G14" s="632"/>
      <c r="H14" s="517"/>
      <c r="I14" s="517"/>
      <c r="J14" s="517"/>
      <c r="K14" s="517"/>
    </row>
    <row r="15" spans="2:11" x14ac:dyDescent="0.2">
      <c r="B15" s="635" t="s">
        <v>30</v>
      </c>
      <c r="C15" s="636" t="s">
        <v>30</v>
      </c>
      <c r="D15" s="647"/>
      <c r="E15" s="647"/>
      <c r="F15" s="274"/>
      <c r="G15" s="632"/>
      <c r="H15" s="517"/>
      <c r="I15" s="517"/>
      <c r="J15" s="517"/>
      <c r="K15" s="517"/>
    </row>
    <row r="16" spans="2:11" x14ac:dyDescent="0.2">
      <c r="B16" s="631"/>
      <c r="C16" s="274"/>
      <c r="D16" s="197"/>
      <c r="E16" s="197"/>
      <c r="F16" s="274"/>
      <c r="G16" s="632"/>
      <c r="H16" s="517"/>
      <c r="I16" s="517"/>
      <c r="J16" s="517"/>
      <c r="K16" s="517"/>
    </row>
    <row r="17" spans="2:11" x14ac:dyDescent="0.2">
      <c r="B17" s="631"/>
      <c r="C17" s="274"/>
      <c r="D17" s="197"/>
      <c r="E17" s="197"/>
      <c r="F17" s="274"/>
      <c r="G17" s="639"/>
      <c r="H17" s="517"/>
      <c r="I17" s="517"/>
      <c r="J17" s="517"/>
      <c r="K17" s="517"/>
    </row>
    <row r="18" spans="2:11" x14ac:dyDescent="0.2">
      <c r="B18" s="631"/>
      <c r="C18" s="274"/>
      <c r="D18" s="197"/>
      <c r="E18" s="197"/>
      <c r="F18" s="274"/>
      <c r="G18" s="632"/>
      <c r="H18" s="517"/>
      <c r="I18" s="517"/>
      <c r="J18" s="517"/>
      <c r="K18" s="517"/>
    </row>
    <row r="19" spans="2:11" x14ac:dyDescent="0.2">
      <c r="B19" s="631"/>
      <c r="C19" s="274"/>
      <c r="D19" s="274"/>
      <c r="E19" s="274"/>
      <c r="F19" s="274"/>
      <c r="G19" s="632"/>
      <c r="H19" s="517"/>
      <c r="I19" s="517"/>
      <c r="J19" s="517"/>
      <c r="K19" s="517"/>
    </row>
    <row r="20" spans="2:11" ht="13.5" thickBot="1" x14ac:dyDescent="0.25">
      <c r="B20" s="640"/>
      <c r="C20" s="641"/>
      <c r="D20" s="641"/>
      <c r="E20" s="641"/>
      <c r="F20" s="641"/>
      <c r="G20" s="642"/>
      <c r="H20" s="517"/>
      <c r="I20" s="517"/>
      <c r="J20" s="517"/>
      <c r="K20" s="517"/>
    </row>
    <row r="21" spans="2:11" x14ac:dyDescent="0.2">
      <c r="B21" s="517"/>
      <c r="C21" s="517"/>
      <c r="D21" s="517"/>
      <c r="E21" s="517"/>
      <c r="F21" s="517"/>
      <c r="G21" s="517"/>
      <c r="H21" s="517"/>
      <c r="I21" s="517"/>
      <c r="J21" s="517"/>
      <c r="K21" s="517"/>
    </row>
    <row r="22" spans="2:11" x14ac:dyDescent="0.2">
      <c r="B22" s="517"/>
      <c r="C22" s="517"/>
      <c r="D22" s="517"/>
      <c r="E22" s="517"/>
      <c r="F22" s="517"/>
      <c r="G22" s="517"/>
      <c r="H22" s="517"/>
      <c r="I22" s="517"/>
      <c r="J22" s="517"/>
      <c r="K22" s="517"/>
    </row>
    <row r="23" spans="2:11" x14ac:dyDescent="0.2">
      <c r="B23" s="59"/>
      <c r="C23" s="517"/>
      <c r="D23" s="517"/>
      <c r="E23" s="517"/>
      <c r="F23" s="517"/>
      <c r="G23" s="517"/>
      <c r="H23" s="517"/>
      <c r="I23" s="517"/>
      <c r="J23" s="517"/>
      <c r="K23" s="517"/>
    </row>
    <row r="24" spans="2:11" ht="13.5" thickBot="1" x14ac:dyDescent="0.25">
      <c r="B24" s="517"/>
      <c r="C24" s="517"/>
      <c r="D24" s="517"/>
      <c r="E24" s="517"/>
      <c r="F24" s="517"/>
      <c r="G24" s="517"/>
      <c r="H24" s="517"/>
      <c r="I24" s="517"/>
      <c r="J24" s="517"/>
      <c r="K24" s="517"/>
    </row>
    <row r="25" spans="2:11" x14ac:dyDescent="0.2">
      <c r="B25" s="790" t="s">
        <v>393</v>
      </c>
      <c r="C25" s="791"/>
      <c r="D25" s="791"/>
      <c r="E25" s="791"/>
      <c r="F25" s="791"/>
      <c r="G25" s="792"/>
      <c r="H25" s="517"/>
      <c r="I25" s="517"/>
      <c r="J25" s="517"/>
      <c r="K25" s="517"/>
    </row>
    <row r="26" spans="2:11" x14ac:dyDescent="0.2">
      <c r="B26" s="631"/>
      <c r="C26" s="274"/>
      <c r="D26" s="274"/>
      <c r="E26" s="274"/>
      <c r="F26" s="274"/>
      <c r="G26" s="632"/>
      <c r="H26" s="517"/>
      <c r="I26" s="517"/>
      <c r="J26" s="517"/>
      <c r="K26" s="517"/>
    </row>
    <row r="27" spans="2:11" x14ac:dyDescent="0.2">
      <c r="B27" s="633" t="s">
        <v>388</v>
      </c>
      <c r="C27" s="634" t="s">
        <v>389</v>
      </c>
      <c r="D27" s="634" t="s">
        <v>53</v>
      </c>
      <c r="E27" s="634" t="s">
        <v>390</v>
      </c>
      <c r="F27" s="274"/>
      <c r="G27" s="632"/>
      <c r="H27" s="517"/>
      <c r="I27" s="517"/>
      <c r="J27" s="517"/>
      <c r="K27" s="517"/>
    </row>
    <row r="28" spans="2:11" x14ac:dyDescent="0.2">
      <c r="B28" s="635" t="s">
        <v>30</v>
      </c>
      <c r="C28" s="636" t="s">
        <v>30</v>
      </c>
      <c r="D28" s="646"/>
      <c r="E28" s="647"/>
      <c r="F28" s="274"/>
      <c r="G28" s="632"/>
      <c r="H28" s="517"/>
      <c r="I28" s="517"/>
      <c r="J28" s="517"/>
      <c r="K28" s="517"/>
    </row>
    <row r="29" spans="2:11" x14ac:dyDescent="0.2">
      <c r="B29" s="635" t="s">
        <v>30</v>
      </c>
      <c r="C29" s="636" t="s">
        <v>31</v>
      </c>
      <c r="D29" s="647"/>
      <c r="E29" s="647"/>
      <c r="F29" s="274"/>
      <c r="G29" s="632"/>
      <c r="H29" s="517"/>
      <c r="I29" s="517"/>
      <c r="J29" s="517"/>
      <c r="K29" s="517"/>
    </row>
    <row r="30" spans="2:11" x14ac:dyDescent="0.2">
      <c r="B30" s="635" t="s">
        <v>31</v>
      </c>
      <c r="C30" s="636" t="s">
        <v>31</v>
      </c>
      <c r="D30" s="647"/>
      <c r="E30" s="647"/>
      <c r="F30" s="274"/>
      <c r="G30" s="632"/>
      <c r="H30" s="517"/>
      <c r="I30" s="517"/>
      <c r="J30" s="517"/>
      <c r="K30" s="517"/>
    </row>
    <row r="31" spans="2:11" x14ac:dyDescent="0.2">
      <c r="B31" s="635" t="s">
        <v>31</v>
      </c>
      <c r="C31" s="636" t="s">
        <v>32</v>
      </c>
      <c r="D31" s="647"/>
      <c r="E31" s="648"/>
      <c r="F31" s="274"/>
      <c r="G31" s="632"/>
      <c r="H31" s="517"/>
      <c r="I31" s="517"/>
      <c r="J31" s="517"/>
      <c r="K31" s="517"/>
    </row>
    <row r="32" spans="2:11" x14ac:dyDescent="0.2">
      <c r="B32" s="635" t="s">
        <v>31</v>
      </c>
      <c r="C32" s="636" t="s">
        <v>30</v>
      </c>
      <c r="D32" s="647"/>
      <c r="E32" s="648"/>
      <c r="F32" s="274"/>
      <c r="G32" s="632"/>
      <c r="H32" s="517"/>
      <c r="I32" s="517"/>
      <c r="J32" s="517"/>
      <c r="K32" s="517"/>
    </row>
    <row r="33" spans="2:11" x14ac:dyDescent="0.2">
      <c r="B33" s="638"/>
      <c r="C33" s="637"/>
      <c r="D33" s="647"/>
      <c r="E33" s="197"/>
      <c r="F33" s="274"/>
      <c r="G33" s="632"/>
      <c r="H33" s="517"/>
      <c r="I33" s="517"/>
      <c r="J33" s="517"/>
      <c r="K33" s="517"/>
    </row>
    <row r="34" spans="2:11" x14ac:dyDescent="0.2">
      <c r="B34" s="638"/>
      <c r="C34" s="637"/>
      <c r="D34" s="637"/>
      <c r="E34" s="274"/>
      <c r="F34" s="274"/>
      <c r="G34" s="632"/>
      <c r="H34" s="517"/>
      <c r="I34" s="517"/>
      <c r="J34" s="517"/>
      <c r="K34" s="517"/>
    </row>
    <row r="35" spans="2:11" x14ac:dyDescent="0.2">
      <c r="B35" s="631"/>
      <c r="C35" s="274"/>
      <c r="D35" s="274"/>
      <c r="E35" s="274"/>
      <c r="F35" s="274"/>
      <c r="G35" s="632"/>
      <c r="H35" s="517"/>
      <c r="I35" s="517"/>
      <c r="J35" s="517"/>
      <c r="K35" s="517"/>
    </row>
    <row r="36" spans="2:11" x14ac:dyDescent="0.2">
      <c r="B36" s="631"/>
      <c r="C36" s="274"/>
      <c r="D36" s="274"/>
      <c r="E36" s="274"/>
      <c r="F36" s="274"/>
      <c r="G36" s="632"/>
      <c r="H36" s="517"/>
      <c r="I36" s="517"/>
      <c r="J36" s="517"/>
      <c r="K36" s="517"/>
    </row>
    <row r="37" spans="2:11" x14ac:dyDescent="0.2">
      <c r="B37" s="635"/>
      <c r="C37" s="636"/>
      <c r="D37" s="637"/>
      <c r="E37" s="637"/>
      <c r="F37" s="274"/>
      <c r="G37" s="632"/>
      <c r="H37" s="517"/>
      <c r="I37" s="517"/>
      <c r="J37" s="517"/>
      <c r="K37" s="517"/>
    </row>
    <row r="38" spans="2:11" x14ac:dyDescent="0.2">
      <c r="B38" s="643" t="s">
        <v>415</v>
      </c>
      <c r="C38" s="636"/>
      <c r="D38" s="636"/>
      <c r="E38" s="637"/>
      <c r="F38" s="274"/>
      <c r="G38" s="632"/>
      <c r="H38" s="517"/>
      <c r="I38" s="517"/>
      <c r="J38" s="517"/>
      <c r="K38" s="517"/>
    </row>
    <row r="39" spans="2:11" x14ac:dyDescent="0.2">
      <c r="B39" s="644" t="s">
        <v>416</v>
      </c>
      <c r="C39" s="274"/>
      <c r="D39" s="274"/>
      <c r="E39" s="274"/>
      <c r="F39" s="274"/>
      <c r="G39" s="632"/>
      <c r="H39" s="517"/>
      <c r="I39" s="517"/>
      <c r="J39" s="517"/>
      <c r="K39" s="517"/>
    </row>
    <row r="40" spans="2:11" x14ac:dyDescent="0.2">
      <c r="B40" s="631"/>
      <c r="C40" s="274"/>
      <c r="D40" s="274"/>
      <c r="E40" s="274"/>
      <c r="F40" s="274"/>
      <c r="G40" s="639"/>
      <c r="H40" s="517"/>
      <c r="I40" s="517"/>
      <c r="J40" s="517"/>
      <c r="K40" s="517"/>
    </row>
    <row r="41" spans="2:11" x14ac:dyDescent="0.2">
      <c r="B41" s="644" t="s">
        <v>417</v>
      </c>
      <c r="C41" s="274"/>
      <c r="D41" s="274"/>
      <c r="E41" s="274"/>
      <c r="F41" s="274"/>
      <c r="G41" s="632"/>
      <c r="H41" s="517"/>
      <c r="I41" s="517"/>
      <c r="J41" s="517"/>
      <c r="K41" s="517"/>
    </row>
    <row r="42" spans="2:11" x14ac:dyDescent="0.2">
      <c r="B42" s="644"/>
      <c r="C42" s="274"/>
      <c r="D42" s="274"/>
      <c r="E42" s="274"/>
      <c r="F42" s="274"/>
      <c r="G42" s="632"/>
      <c r="H42" s="517"/>
      <c r="I42" s="517"/>
      <c r="J42" s="517"/>
      <c r="K42" s="517"/>
    </row>
    <row r="43" spans="2:11" x14ac:dyDescent="0.2">
      <c r="B43" s="631"/>
      <c r="C43" s="274"/>
      <c r="D43" s="274"/>
      <c r="E43" s="274"/>
      <c r="F43" s="274"/>
      <c r="G43" s="632"/>
      <c r="H43" s="517"/>
      <c r="I43" s="517"/>
      <c r="J43" s="517"/>
      <c r="K43" s="517"/>
    </row>
    <row r="44" spans="2:11" x14ac:dyDescent="0.2">
      <c r="B44" s="645" t="s">
        <v>395</v>
      </c>
      <c r="C44" s="274"/>
      <c r="D44" s="274"/>
      <c r="E44" s="274"/>
      <c r="F44" s="274"/>
      <c r="G44" s="632"/>
      <c r="H44" s="517"/>
      <c r="I44" s="517"/>
      <c r="J44" s="517"/>
      <c r="K44" s="517"/>
    </row>
    <row r="45" spans="2:11" x14ac:dyDescent="0.2">
      <c r="B45" s="644" t="s">
        <v>408</v>
      </c>
      <c r="C45" s="274"/>
      <c r="D45" s="274"/>
      <c r="E45" s="274"/>
      <c r="F45" s="274"/>
      <c r="G45" s="632"/>
      <c r="H45" s="517"/>
      <c r="I45" s="517"/>
      <c r="J45" s="517"/>
      <c r="K45" s="517"/>
    </row>
    <row r="46" spans="2:11" x14ac:dyDescent="0.2">
      <c r="B46" s="644" t="s">
        <v>391</v>
      </c>
      <c r="C46" s="274"/>
      <c r="D46" s="274"/>
      <c r="E46" s="274"/>
      <c r="F46" s="274"/>
      <c r="G46" s="632"/>
      <c r="H46" s="517"/>
      <c r="I46" s="517"/>
      <c r="J46" s="517"/>
      <c r="K46" s="517"/>
    </row>
    <row r="47" spans="2:11" ht="13.5" thickBot="1" x14ac:dyDescent="0.25">
      <c r="B47" s="640"/>
      <c r="C47" s="641"/>
      <c r="D47" s="641"/>
      <c r="E47" s="641"/>
      <c r="F47" s="641"/>
      <c r="G47" s="642"/>
      <c r="H47" s="517"/>
      <c r="I47" s="517"/>
      <c r="J47" s="517"/>
      <c r="K47" s="517"/>
    </row>
    <row r="48" spans="2:11" x14ac:dyDescent="0.2">
      <c r="B48" s="517"/>
      <c r="C48" s="517"/>
      <c r="D48" s="517"/>
      <c r="E48" s="517"/>
      <c r="F48" s="517"/>
      <c r="G48" s="517"/>
      <c r="H48" s="517"/>
      <c r="I48" s="517"/>
      <c r="J48" s="517"/>
      <c r="K48" s="517"/>
    </row>
  </sheetData>
  <mergeCells count="2">
    <mergeCell ref="B2:G2"/>
    <mergeCell ref="B25:G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22" sqref="J22"/>
    </sheetView>
  </sheetViews>
  <sheetFormatPr baseColWidth="10" defaultColWidth="11.42578125" defaultRowHeight="12.75" x14ac:dyDescent="0.2"/>
  <cols>
    <col min="1" max="1" width="3.5703125" style="630" customWidth="1"/>
    <col min="2" max="3" width="11.42578125" style="630"/>
    <col min="4" max="4" width="22.42578125" style="630" customWidth="1"/>
    <col min="5" max="16384" width="11.42578125" style="630"/>
  </cols>
  <sheetData>
    <row r="1" spans="1:7" x14ac:dyDescent="0.2">
      <c r="A1" s="629"/>
    </row>
    <row r="2" spans="1:7" x14ac:dyDescent="0.2">
      <c r="B2" s="825" t="s">
        <v>381</v>
      </c>
      <c r="C2" s="825"/>
      <c r="D2" s="825"/>
      <c r="E2" s="825"/>
      <c r="F2" s="825"/>
      <c r="G2" s="825"/>
    </row>
    <row r="4" spans="1:7" x14ac:dyDescent="0.2">
      <c r="B4" s="815" t="s">
        <v>382</v>
      </c>
      <c r="C4" s="821" t="s">
        <v>411</v>
      </c>
      <c r="D4" s="823"/>
      <c r="E4" s="821" t="s">
        <v>410</v>
      </c>
      <c r="F4" s="822"/>
      <c r="G4" s="823"/>
    </row>
    <row r="5" spans="1:7" x14ac:dyDescent="0.2">
      <c r="B5" s="826"/>
      <c r="C5" s="827"/>
      <c r="D5" s="818"/>
      <c r="E5" s="819"/>
      <c r="F5" s="824"/>
      <c r="G5" s="820"/>
    </row>
    <row r="6" spans="1:7" x14ac:dyDescent="0.2">
      <c r="B6" s="821" t="s">
        <v>383</v>
      </c>
      <c r="C6" s="821" t="s">
        <v>384</v>
      </c>
      <c r="D6" s="828"/>
      <c r="E6" s="831" t="s">
        <v>385</v>
      </c>
      <c r="F6" s="831"/>
      <c r="G6" s="828"/>
    </row>
    <row r="7" spans="1:7" x14ac:dyDescent="0.2">
      <c r="B7" s="819"/>
      <c r="C7" s="829"/>
      <c r="D7" s="830"/>
      <c r="E7" s="832"/>
      <c r="F7" s="832"/>
      <c r="G7" s="830"/>
    </row>
    <row r="8" spans="1:7" x14ac:dyDescent="0.2">
      <c r="B8" s="815" t="s">
        <v>386</v>
      </c>
      <c r="C8" s="817" t="s">
        <v>387</v>
      </c>
      <c r="D8" s="818"/>
      <c r="E8" s="821" t="s">
        <v>385</v>
      </c>
      <c r="F8" s="822"/>
      <c r="G8" s="823"/>
    </row>
    <row r="9" spans="1:7" x14ac:dyDescent="0.2">
      <c r="B9" s="816"/>
      <c r="C9" s="819"/>
      <c r="D9" s="820"/>
      <c r="E9" s="819"/>
      <c r="F9" s="824"/>
      <c r="G9" s="820"/>
    </row>
  </sheetData>
  <mergeCells count="10">
    <mergeCell ref="B8:B9"/>
    <mergeCell ref="C8:D9"/>
    <mergeCell ref="E8:G9"/>
    <mergeCell ref="B2:G2"/>
    <mergeCell ref="B4:B5"/>
    <mergeCell ref="C4:D5"/>
    <mergeCell ref="E4:G5"/>
    <mergeCell ref="B6:B7"/>
    <mergeCell ref="C6:D7"/>
    <mergeCell ref="E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9" tint="-0.249977111117893"/>
  </sheetPr>
  <dimension ref="A1:I60"/>
  <sheetViews>
    <sheetView showGridLines="0" showRuler="0" view="pageLayout" topLeftCell="A7" zoomScale="115" zoomScaleNormal="75" zoomScaleSheetLayoutView="85" zoomScalePageLayoutView="115" workbookViewId="0">
      <selection activeCell="D44" sqref="D44"/>
    </sheetView>
  </sheetViews>
  <sheetFormatPr baseColWidth="10" defaultRowHeight="12.75" x14ac:dyDescent="0.2"/>
  <cols>
    <col min="1" max="3" width="9.140625" customWidth="1"/>
    <col min="4" max="4" width="13.42578125" customWidth="1"/>
    <col min="5" max="5" width="14.5703125" customWidth="1"/>
    <col min="6" max="6" width="9.5703125" customWidth="1"/>
    <col min="7" max="7" width="12.5703125" customWidth="1"/>
    <col min="8" max="8" width="10.42578125" customWidth="1"/>
    <col min="9" max="9" width="2.85546875" customWidth="1"/>
    <col min="10" max="14" width="9.140625" customWidth="1"/>
  </cols>
  <sheetData>
    <row r="1" spans="1:9" x14ac:dyDescent="0.2">
      <c r="A1" s="59"/>
    </row>
    <row r="3" spans="1:9" x14ac:dyDescent="0.2">
      <c r="A3" s="60"/>
      <c r="B3" s="60"/>
      <c r="C3" s="60"/>
      <c r="D3" s="60"/>
      <c r="E3" s="60"/>
      <c r="F3" s="60"/>
      <c r="G3" s="60"/>
      <c r="H3" s="60"/>
      <c r="I3" s="60"/>
    </row>
    <row r="4" spans="1:9" x14ac:dyDescent="0.2">
      <c r="A4" s="60"/>
      <c r="B4" s="60"/>
      <c r="C4" s="60"/>
      <c r="D4" s="60"/>
      <c r="E4" s="60"/>
      <c r="F4" s="60"/>
      <c r="G4" s="60"/>
      <c r="H4" s="60"/>
      <c r="I4" s="60"/>
    </row>
    <row r="5" spans="1:9" ht="15.75" x14ac:dyDescent="0.25">
      <c r="A5" s="833" t="s">
        <v>141</v>
      </c>
      <c r="B5" s="833"/>
      <c r="C5" s="833"/>
      <c r="D5" s="833"/>
      <c r="E5" s="833"/>
      <c r="F5" s="833"/>
      <c r="G5" s="833"/>
      <c r="H5" s="833"/>
      <c r="I5" s="833"/>
    </row>
    <row r="6" spans="1:9" ht="15.75" x14ac:dyDescent="0.25">
      <c r="A6" s="337"/>
      <c r="B6" s="337"/>
      <c r="C6" s="337"/>
      <c r="D6" s="338" t="str">
        <f>Start!B1</f>
        <v>ÅRLIG STATUSKONTROLL</v>
      </c>
      <c r="E6" s="337"/>
      <c r="F6" s="337"/>
      <c r="G6" s="337"/>
      <c r="H6" s="337"/>
      <c r="I6" s="337"/>
    </row>
    <row r="7" spans="1:9" x14ac:dyDescent="0.2">
      <c r="A7" s="337"/>
      <c r="B7" s="337"/>
      <c r="C7" s="337"/>
      <c r="D7" s="337"/>
      <c r="E7" s="337"/>
      <c r="F7" s="337"/>
      <c r="G7" s="337"/>
      <c r="H7" s="337"/>
      <c r="I7" s="337"/>
    </row>
    <row r="8" spans="1:9" x14ac:dyDescent="0.2">
      <c r="A8" s="337"/>
      <c r="B8" s="337"/>
      <c r="C8" s="337"/>
      <c r="D8" s="337"/>
      <c r="E8" s="337"/>
      <c r="F8" s="337"/>
      <c r="G8" s="337"/>
      <c r="H8" s="337"/>
      <c r="I8" s="337"/>
    </row>
    <row r="9" spans="1:9" ht="15" x14ac:dyDescent="0.2">
      <c r="A9" s="339" t="s">
        <v>171</v>
      </c>
      <c r="B9" s="340"/>
      <c r="C9" s="340"/>
      <c r="D9" s="339" t="str">
        <f>IF(Start!B7="","",Start!B7)</f>
        <v/>
      </c>
      <c r="E9" s="340"/>
      <c r="F9" s="537" t="str">
        <f>IF(Start!B6="","",Start!B6)</f>
        <v/>
      </c>
      <c r="G9" s="340"/>
      <c r="H9" s="340"/>
      <c r="I9" s="337"/>
    </row>
    <row r="10" spans="1:9" ht="15" x14ac:dyDescent="0.2">
      <c r="A10" s="341" t="s">
        <v>155</v>
      </c>
      <c r="B10" s="340"/>
      <c r="C10" s="340"/>
      <c r="D10" s="339" t="str">
        <f>IF(Start!B8="","",Start!B8)</f>
        <v/>
      </c>
      <c r="E10" s="342"/>
      <c r="F10" s="537" t="str">
        <f>IF(Start!B9="","",Start!B9)</f>
        <v/>
      </c>
      <c r="G10" s="340"/>
      <c r="H10" s="340"/>
      <c r="I10" s="337"/>
    </row>
    <row r="11" spans="1:9" ht="15" x14ac:dyDescent="0.2">
      <c r="A11" s="341" t="s">
        <v>173</v>
      </c>
      <c r="B11" s="340"/>
      <c r="C11" s="340"/>
      <c r="D11" s="339" t="str">
        <f>IF(Start!B4="","",Start!B4)</f>
        <v/>
      </c>
      <c r="E11" s="342"/>
      <c r="F11" s="537" t="str">
        <f>IF(Start!B5="","",Start!B5)</f>
        <v/>
      </c>
      <c r="G11" s="340"/>
      <c r="H11" s="340"/>
      <c r="I11" s="337"/>
    </row>
    <row r="12" spans="1:9" ht="15" x14ac:dyDescent="0.2">
      <c r="A12" s="344" t="s">
        <v>288</v>
      </c>
      <c r="B12" s="337"/>
      <c r="C12" s="337"/>
      <c r="D12" s="339" t="str">
        <f>IF(Start!B10="","",Start!B10)</f>
        <v/>
      </c>
      <c r="E12" s="343"/>
      <c r="F12" s="337"/>
      <c r="G12" s="337"/>
      <c r="H12" s="337"/>
      <c r="I12" s="337"/>
    </row>
    <row r="13" spans="1:9" ht="15" x14ac:dyDescent="0.2">
      <c r="A13" s="344" t="s">
        <v>148</v>
      </c>
      <c r="B13" s="337"/>
      <c r="C13" s="337"/>
      <c r="D13" s="539" t="str">
        <f>IF(Start!B2="","",Start!B2)</f>
        <v/>
      </c>
      <c r="E13" s="337"/>
      <c r="F13" s="337"/>
      <c r="G13" s="337"/>
      <c r="H13" s="337"/>
      <c r="I13" s="337"/>
    </row>
    <row r="14" spans="1:9" x14ac:dyDescent="0.2">
      <c r="A14" s="337"/>
      <c r="B14" s="337"/>
      <c r="C14" s="337"/>
      <c r="D14" s="340"/>
      <c r="E14" s="337"/>
      <c r="F14" s="337"/>
      <c r="G14" s="337"/>
      <c r="H14" s="337"/>
      <c r="I14" s="337"/>
    </row>
    <row r="15" spans="1:9" x14ac:dyDescent="0.2">
      <c r="A15" s="337"/>
      <c r="B15" s="337"/>
      <c r="C15" s="337"/>
      <c r="D15" s="340"/>
      <c r="E15" s="337"/>
      <c r="F15" s="337"/>
      <c r="G15" s="337"/>
      <c r="H15" s="337"/>
      <c r="I15" s="340"/>
    </row>
    <row r="16" spans="1:9" ht="15" x14ac:dyDescent="0.2">
      <c r="A16" s="345" t="s">
        <v>242</v>
      </c>
      <c r="B16" s="337"/>
      <c r="C16" s="337"/>
      <c r="D16" s="340"/>
      <c r="E16" s="337"/>
      <c r="F16" s="337"/>
      <c r="G16" s="337"/>
      <c r="H16" s="337"/>
      <c r="I16" s="340"/>
    </row>
    <row r="17" spans="1:9" ht="15" x14ac:dyDescent="0.2">
      <c r="A17" s="345" t="s">
        <v>243</v>
      </c>
      <c r="B17" s="337"/>
      <c r="C17" s="337"/>
      <c r="D17" s="340"/>
      <c r="E17" s="337"/>
      <c r="F17" s="337"/>
      <c r="G17" s="337"/>
      <c r="H17" s="337"/>
      <c r="I17" s="340"/>
    </row>
    <row r="18" spans="1:9" ht="15" x14ac:dyDescent="0.2">
      <c r="A18" s="345" t="s">
        <v>244</v>
      </c>
      <c r="B18" s="337"/>
      <c r="C18" s="337"/>
      <c r="D18" s="337"/>
      <c r="E18" s="337"/>
      <c r="F18" s="337"/>
      <c r="G18" s="337"/>
      <c r="H18" s="337"/>
      <c r="I18" s="340"/>
    </row>
    <row r="19" spans="1:9" ht="15" x14ac:dyDescent="0.2">
      <c r="A19" s="345" t="s">
        <v>245</v>
      </c>
      <c r="B19" s="337"/>
      <c r="C19" s="337"/>
      <c r="D19" s="337"/>
      <c r="E19" s="337"/>
      <c r="F19" s="337"/>
      <c r="G19" s="337"/>
      <c r="H19" s="337"/>
      <c r="I19" s="340"/>
    </row>
    <row r="20" spans="1:9" x14ac:dyDescent="0.2">
      <c r="A20" s="337"/>
      <c r="B20" s="337"/>
      <c r="C20" s="337"/>
      <c r="D20" s="337"/>
      <c r="E20" s="337"/>
      <c r="F20" s="337"/>
      <c r="G20" s="337"/>
      <c r="H20" s="337"/>
      <c r="I20" s="340"/>
    </row>
    <row r="21" spans="1:9" ht="15" x14ac:dyDescent="0.2">
      <c r="A21" s="345" t="s">
        <v>496</v>
      </c>
      <c r="B21" s="337"/>
      <c r="C21" s="337"/>
      <c r="D21" s="337"/>
      <c r="E21" s="337"/>
      <c r="F21" s="337"/>
      <c r="G21" s="337"/>
      <c r="H21" s="337"/>
      <c r="I21" s="340"/>
    </row>
    <row r="22" spans="1:9" ht="15" x14ac:dyDescent="0.2">
      <c r="A22" s="345" t="s">
        <v>498</v>
      </c>
      <c r="B22" s="337"/>
      <c r="C22" s="337"/>
      <c r="D22" s="337"/>
      <c r="E22" s="337"/>
      <c r="F22" s="337"/>
      <c r="G22" s="337"/>
      <c r="H22" s="337"/>
      <c r="I22" s="340"/>
    </row>
    <row r="23" spans="1:9" ht="15" x14ac:dyDescent="0.2">
      <c r="A23" s="345" t="s">
        <v>499</v>
      </c>
      <c r="B23" s="337"/>
      <c r="C23" s="337"/>
      <c r="D23" s="337"/>
      <c r="E23" s="337"/>
      <c r="F23" s="337"/>
      <c r="G23" s="337"/>
      <c r="H23" s="337"/>
      <c r="I23" s="340"/>
    </row>
    <row r="24" spans="1:9" ht="15" x14ac:dyDescent="0.2">
      <c r="A24" s="345"/>
      <c r="B24" s="337"/>
      <c r="C24" s="337"/>
      <c r="D24" s="337"/>
      <c r="E24" s="337"/>
      <c r="F24" s="337"/>
      <c r="G24" s="337"/>
      <c r="H24" s="337"/>
      <c r="I24" s="340"/>
    </row>
    <row r="25" spans="1:9" x14ac:dyDescent="0.2">
      <c r="A25" s="337"/>
      <c r="B25" s="337"/>
      <c r="C25" s="337"/>
      <c r="D25" s="337"/>
      <c r="E25" s="337"/>
      <c r="F25" s="337"/>
      <c r="G25" s="337"/>
      <c r="H25" s="337"/>
      <c r="I25" s="340"/>
    </row>
    <row r="26" spans="1:9" ht="15.75" x14ac:dyDescent="0.25">
      <c r="A26" s="336" t="s">
        <v>246</v>
      </c>
      <c r="B26" s="331"/>
      <c r="C26" s="331"/>
      <c r="D26" s="331"/>
      <c r="E26" s="331"/>
      <c r="F26" s="331"/>
      <c r="G26" s="331"/>
      <c r="H26" s="332"/>
      <c r="I26" s="340"/>
    </row>
    <row r="27" spans="1:9" x14ac:dyDescent="0.2">
      <c r="A27" s="484"/>
      <c r="B27" s="200"/>
      <c r="C27" s="542"/>
      <c r="D27" s="208"/>
      <c r="E27" s="208"/>
      <c r="F27" s="208"/>
      <c r="G27" s="208"/>
      <c r="H27" s="541"/>
      <c r="I27" s="340"/>
    </row>
    <row r="28" spans="1:9" x14ac:dyDescent="0.2">
      <c r="A28" s="484"/>
      <c r="B28" s="200"/>
      <c r="C28" s="208"/>
      <c r="D28" s="208"/>
      <c r="E28" s="208"/>
      <c r="F28" s="208"/>
      <c r="G28" s="208"/>
      <c r="H28" s="541"/>
      <c r="I28" s="340"/>
    </row>
    <row r="29" spans="1:9" x14ac:dyDescent="0.2">
      <c r="A29" s="484"/>
      <c r="B29" s="200"/>
      <c r="C29" s="208"/>
      <c r="D29" s="208"/>
      <c r="E29" s="208"/>
      <c r="F29" s="208"/>
      <c r="G29" s="208"/>
      <c r="H29" s="541"/>
      <c r="I29" s="340"/>
    </row>
    <row r="30" spans="1:9" x14ac:dyDescent="0.2">
      <c r="A30" s="484"/>
      <c r="B30" s="200"/>
      <c r="C30" s="208"/>
      <c r="D30" s="208"/>
      <c r="E30" s="208"/>
      <c r="F30" s="208"/>
      <c r="G30" s="208"/>
      <c r="H30" s="541"/>
      <c r="I30" s="340"/>
    </row>
    <row r="31" spans="1:9" x14ac:dyDescent="0.2">
      <c r="A31" s="484"/>
      <c r="B31" s="200"/>
      <c r="C31" s="208"/>
      <c r="D31" s="208"/>
      <c r="E31" s="208"/>
      <c r="F31" s="208"/>
      <c r="G31" s="208"/>
      <c r="H31" s="541"/>
      <c r="I31" s="340"/>
    </row>
    <row r="32" spans="1:9" x14ac:dyDescent="0.2">
      <c r="A32" s="484"/>
      <c r="B32" s="200"/>
      <c r="C32" s="208"/>
      <c r="D32" s="208"/>
      <c r="E32" s="208"/>
      <c r="F32" s="208"/>
      <c r="G32" s="208"/>
      <c r="H32" s="541"/>
      <c r="I32" s="340"/>
    </row>
    <row r="33" spans="1:9" x14ac:dyDescent="0.2">
      <c r="A33" s="333"/>
      <c r="B33" s="334"/>
      <c r="C33" s="334"/>
      <c r="D33" s="334"/>
      <c r="E33" s="334"/>
      <c r="F33" s="334"/>
      <c r="G33" s="334"/>
      <c r="H33" s="335"/>
      <c r="I33" s="340"/>
    </row>
    <row r="34" spans="1:9" x14ac:dyDescent="0.2">
      <c r="A34" s="337"/>
      <c r="B34" s="337"/>
      <c r="C34" s="337"/>
      <c r="D34" s="337"/>
      <c r="E34" s="337"/>
      <c r="F34" s="337"/>
      <c r="G34" s="337"/>
      <c r="H34" s="337"/>
      <c r="I34" s="340"/>
    </row>
    <row r="35" spans="1:9" ht="15.75" x14ac:dyDescent="0.25">
      <c r="A35" s="353" t="s">
        <v>149</v>
      </c>
      <c r="B35" s="341"/>
      <c r="C35" s="341"/>
      <c r="D35" s="341"/>
      <c r="E35" s="354" t="s">
        <v>150</v>
      </c>
      <c r="F35" s="341"/>
      <c r="G35" s="355"/>
      <c r="H35" s="337"/>
      <c r="I35" s="340"/>
    </row>
    <row r="36" spans="1:9" x14ac:dyDescent="0.2">
      <c r="A36" s="356" t="str">
        <f>Start!A14</f>
        <v>Anlegg  MEDUSA:</v>
      </c>
      <c r="B36" s="346"/>
      <c r="C36" s="357" t="str">
        <f>IF(Start!B14="","",Start!B14)</f>
        <v/>
      </c>
      <c r="D36" s="346"/>
      <c r="E36" s="356" t="str">
        <f>Start!A17</f>
        <v>Raysafe Medusa nr:</v>
      </c>
      <c r="F36" s="346"/>
      <c r="G36" s="357">
        <f>IF(Start!B17="","",Start!B17)</f>
        <v>79451</v>
      </c>
      <c r="H36" s="347"/>
      <c r="I36" s="340"/>
    </row>
    <row r="37" spans="1:9" x14ac:dyDescent="0.2">
      <c r="A37" s="348" t="str">
        <f>Start!A15</f>
        <v>Utstyr nr MEDUSA:</v>
      </c>
      <c r="B37" s="340"/>
      <c r="C37" s="358" t="str">
        <f>IF(Start!B15="","",Start!B15)</f>
        <v/>
      </c>
      <c r="D37" s="340"/>
      <c r="E37" s="348" t="str">
        <f>Start!A18</f>
        <v>Raysafe s/n RF-probe</v>
      </c>
      <c r="F37" s="340"/>
      <c r="G37" s="358">
        <f>IF(Start!B18="","",Start!B18)</f>
        <v>285374</v>
      </c>
      <c r="H37" s="349"/>
      <c r="I37" s="340"/>
    </row>
    <row r="38" spans="1:9" x14ac:dyDescent="0.2">
      <c r="A38" s="348" t="str">
        <f>Start!A11</f>
        <v>s.w. versjon:</v>
      </c>
      <c r="B38" s="340"/>
      <c r="C38" s="358" t="str">
        <f>IF(Start!B11="","",Start!B11)</f>
        <v/>
      </c>
      <c r="D38" s="340"/>
      <c r="E38" s="348" t="str">
        <f>Start!A19</f>
        <v>Kalibreringsdato:</v>
      </c>
      <c r="F38" s="340"/>
      <c r="G38" s="359">
        <f>IF(Start!B19="","",Start!B19)</f>
        <v>45175</v>
      </c>
      <c r="H38" s="349"/>
      <c r="I38" s="340"/>
    </row>
    <row r="39" spans="1:9" x14ac:dyDescent="0.2">
      <c r="A39" s="348" t="str">
        <f>Start!A12</f>
        <v>Detektorer:</v>
      </c>
      <c r="B39" s="340"/>
      <c r="C39" s="358" t="str">
        <f>IF(Start!B12="","",Start!B12)</f>
        <v/>
      </c>
      <c r="D39" s="340"/>
      <c r="E39" s="348" t="str">
        <f>Start!A20</f>
        <v>DAP-meter Medusa nr:</v>
      </c>
      <c r="F39" s="340"/>
      <c r="G39" s="358" t="str">
        <f>IF(Start!B20="","",Start!B20)</f>
        <v>N/A</v>
      </c>
      <c r="H39" s="349"/>
      <c r="I39" s="340"/>
    </row>
    <row r="40" spans="1:9" x14ac:dyDescent="0.2">
      <c r="A40" s="348" t="str">
        <f>Start!A13</f>
        <v>Interne filter?</v>
      </c>
      <c r="B40" s="340"/>
      <c r="C40" s="358" t="str">
        <f>IF(Start!B13="","",Start!B13)</f>
        <v/>
      </c>
      <c r="D40" s="340"/>
      <c r="E40" s="348" t="str">
        <f>Start!A21</f>
        <v>Kalibreringsdato:</v>
      </c>
      <c r="F40" s="340"/>
      <c r="G40" s="359">
        <f>IF(Start!B21="","",Start!B21)</f>
        <v>45435</v>
      </c>
      <c r="H40" s="349"/>
      <c r="I40" s="340"/>
    </row>
    <row r="41" spans="1:9" x14ac:dyDescent="0.2">
      <c r="A41" s="350"/>
      <c r="B41" s="351"/>
      <c r="C41" s="360"/>
      <c r="D41" s="351"/>
      <c r="E41" s="350"/>
      <c r="F41" s="351"/>
      <c r="G41" s="361"/>
      <c r="H41" s="352"/>
      <c r="I41" s="340"/>
    </row>
    <row r="42" spans="1:9" x14ac:dyDescent="0.2">
      <c r="A42" s="340"/>
      <c r="B42" s="340"/>
      <c r="C42" s="358"/>
      <c r="D42" s="340"/>
      <c r="E42" s="340"/>
      <c r="F42" s="340"/>
      <c r="G42" s="362"/>
      <c r="H42" s="337"/>
      <c r="I42" s="337"/>
    </row>
    <row r="43" spans="1:9" x14ac:dyDescent="0.2">
      <c r="A43" s="340"/>
      <c r="B43" s="340"/>
      <c r="C43" s="340"/>
      <c r="D43" s="340"/>
      <c r="E43" s="340"/>
      <c r="F43" s="340"/>
      <c r="G43" s="362"/>
      <c r="H43" s="337"/>
      <c r="I43" s="337"/>
    </row>
    <row r="44" spans="1:9" x14ac:dyDescent="0.2">
      <c r="A44" s="340"/>
      <c r="B44" s="340"/>
      <c r="C44" s="340"/>
      <c r="D44" s="340"/>
      <c r="E44" s="340"/>
      <c r="F44" s="340"/>
      <c r="G44" s="362"/>
      <c r="H44" s="337"/>
      <c r="I44" s="337"/>
    </row>
    <row r="45" spans="1:9" ht="15.75" x14ac:dyDescent="0.25">
      <c r="A45" s="353" t="s">
        <v>151</v>
      </c>
      <c r="B45" s="341"/>
      <c r="C45" s="340"/>
      <c r="D45" s="340"/>
      <c r="E45" s="340"/>
      <c r="F45" s="340"/>
      <c r="G45" s="362"/>
      <c r="H45" s="337"/>
      <c r="I45" s="337"/>
    </row>
    <row r="46" spans="1:9" ht="15" x14ac:dyDescent="0.2">
      <c r="A46" s="341" t="s">
        <v>247</v>
      </c>
      <c r="B46" s="341"/>
      <c r="C46" s="341"/>
      <c r="D46" s="337"/>
      <c r="E46" s="344" t="s">
        <v>508</v>
      </c>
      <c r="F46" s="344"/>
      <c r="G46" s="355"/>
      <c r="H46" s="337"/>
      <c r="I46" s="337"/>
    </row>
    <row r="47" spans="1:9" ht="15" x14ac:dyDescent="0.2">
      <c r="A47" s="341" t="s">
        <v>503</v>
      </c>
      <c r="B47" s="341"/>
      <c r="C47" s="341"/>
      <c r="D47" s="337"/>
      <c r="E47" s="363" t="s">
        <v>509</v>
      </c>
      <c r="F47" s="344"/>
      <c r="G47" s="344"/>
      <c r="H47" s="337"/>
      <c r="I47" s="337"/>
    </row>
    <row r="48" spans="1:9" ht="15" x14ac:dyDescent="0.2">
      <c r="A48" s="363" t="s">
        <v>504</v>
      </c>
      <c r="B48" s="344"/>
      <c r="C48" s="341"/>
      <c r="D48" s="337"/>
      <c r="E48" s="363" t="s">
        <v>510</v>
      </c>
      <c r="F48" s="344"/>
      <c r="G48" s="344"/>
      <c r="H48" s="337"/>
      <c r="I48" s="337"/>
    </row>
    <row r="49" spans="1:9" ht="15" x14ac:dyDescent="0.2">
      <c r="A49" s="363" t="s">
        <v>505</v>
      </c>
      <c r="B49" s="344"/>
      <c r="C49" s="341"/>
      <c r="D49" s="337"/>
      <c r="E49" s="344" t="s">
        <v>511</v>
      </c>
      <c r="F49" s="344"/>
      <c r="G49" s="344"/>
      <c r="H49" s="337"/>
      <c r="I49" s="337"/>
    </row>
    <row r="50" spans="1:9" ht="15" x14ac:dyDescent="0.2">
      <c r="A50" s="363" t="s">
        <v>506</v>
      </c>
      <c r="C50" s="344"/>
      <c r="D50" s="337"/>
      <c r="G50" s="344"/>
      <c r="H50" s="337"/>
      <c r="I50" s="337"/>
    </row>
    <row r="51" spans="1:9" ht="15" x14ac:dyDescent="0.2">
      <c r="A51" s="344" t="s">
        <v>507</v>
      </c>
      <c r="C51" s="344"/>
      <c r="D51" s="337"/>
      <c r="G51" s="344"/>
      <c r="H51" s="337"/>
      <c r="I51" s="337"/>
    </row>
    <row r="52" spans="1:9" ht="15" x14ac:dyDescent="0.2">
      <c r="A52" s="364"/>
      <c r="B52" s="365"/>
      <c r="C52" s="365"/>
      <c r="D52" s="365"/>
      <c r="E52" s="365"/>
      <c r="F52" s="344"/>
      <c r="G52" s="344"/>
      <c r="H52" s="337"/>
      <c r="I52" s="337"/>
    </row>
    <row r="53" spans="1:9" ht="15" x14ac:dyDescent="0.2">
      <c r="A53" s="365"/>
      <c r="B53" s="344"/>
      <c r="C53" s="344"/>
      <c r="D53" s="344"/>
      <c r="E53" s="344"/>
      <c r="F53" s="344"/>
      <c r="G53" s="344"/>
      <c r="H53" s="337"/>
      <c r="I53" s="337"/>
    </row>
    <row r="54" spans="1:9" x14ac:dyDescent="0.2">
      <c r="A54" s="366"/>
      <c r="B54" s="337"/>
      <c r="C54" s="337"/>
      <c r="D54" s="337"/>
      <c r="E54" s="337"/>
      <c r="F54" s="337"/>
      <c r="G54" s="337"/>
      <c r="H54" s="337"/>
      <c r="I54" s="337"/>
    </row>
    <row r="55" spans="1:9" x14ac:dyDescent="0.2">
      <c r="A55" s="367"/>
      <c r="B55" s="337"/>
      <c r="C55" s="337"/>
      <c r="D55" s="337"/>
      <c r="E55" s="337"/>
      <c r="F55" s="337"/>
      <c r="G55" s="337"/>
      <c r="H55" s="337"/>
      <c r="I55" s="337"/>
    </row>
    <row r="56" spans="1:9" x14ac:dyDescent="0.2">
      <c r="A56" s="337"/>
      <c r="B56" s="337"/>
      <c r="C56" s="337"/>
      <c r="D56" s="337"/>
      <c r="E56" s="337"/>
      <c r="F56" s="337"/>
      <c r="G56" s="337"/>
      <c r="H56" s="337"/>
      <c r="I56" s="337"/>
    </row>
    <row r="57" spans="1:9" x14ac:dyDescent="0.2">
      <c r="A57" s="368"/>
      <c r="B57" s="368"/>
      <c r="C57" s="368"/>
      <c r="D57" s="368"/>
      <c r="E57" s="368"/>
      <c r="F57" s="368"/>
      <c r="G57" s="368"/>
      <c r="H57" s="368"/>
      <c r="I57" s="368"/>
    </row>
    <row r="60" spans="1:9" x14ac:dyDescent="0.2">
      <c r="G60" s="59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5"/>
  <sheetViews>
    <sheetView showGridLines="0" view="pageLayout" topLeftCell="A7" zoomScale="115" zoomScaleNormal="75" zoomScaleSheetLayoutView="85" zoomScalePageLayoutView="115" workbookViewId="0">
      <selection activeCell="F8" sqref="F8"/>
    </sheetView>
  </sheetViews>
  <sheetFormatPr baseColWidth="10" defaultRowHeight="12.75" x14ac:dyDescent="0.2"/>
  <cols>
    <col min="1" max="1" width="2.5703125" customWidth="1"/>
    <col min="2" max="2" width="9.140625" customWidth="1"/>
    <col min="3" max="3" width="6.5703125" customWidth="1"/>
    <col min="4" max="10" width="9.140625" customWidth="1"/>
    <col min="11" max="11" width="10" customWidth="1"/>
    <col min="12" max="18" width="9.140625" customWidth="1"/>
  </cols>
  <sheetData>
    <row r="1" spans="2:11" x14ac:dyDescent="0.2">
      <c r="B1" s="182"/>
    </row>
    <row r="3" spans="2:11" x14ac:dyDescent="0.2">
      <c r="B3" s="182"/>
      <c r="C3" s="182"/>
    </row>
    <row r="4" spans="2:11" x14ac:dyDescent="0.2">
      <c r="C4" s="59"/>
    </row>
    <row r="5" spans="2:11" ht="18" x14ac:dyDescent="0.25">
      <c r="B5" s="497" t="str">
        <f>U1_Forside!A46</f>
        <v>1.Oppsummering</v>
      </c>
      <c r="C5" s="59"/>
      <c r="D5" s="59"/>
      <c r="E5" s="59"/>
      <c r="F5" s="497"/>
      <c r="K5" s="183"/>
    </row>
    <row r="6" spans="2:11" x14ac:dyDescent="0.2">
      <c r="B6" s="59"/>
    </row>
    <row r="7" spans="2:11" x14ac:dyDescent="0.2">
      <c r="B7" s="464"/>
      <c r="C7" s="475"/>
      <c r="D7" s="464"/>
      <c r="E7" s="464"/>
      <c r="F7" s="464"/>
      <c r="G7" s="464"/>
      <c r="H7" s="475"/>
      <c r="I7" s="464"/>
      <c r="J7" s="464"/>
    </row>
    <row r="8" spans="2:11" ht="17.100000000000001" customHeight="1" x14ac:dyDescent="0.25">
      <c r="B8" s="470"/>
      <c r="C8" s="470"/>
      <c r="D8" s="497" t="str">
        <f>U1_Forside!A47</f>
        <v>2. DAP målinger</v>
      </c>
      <c r="E8" s="492"/>
      <c r="F8" s="493"/>
      <c r="G8" s="493"/>
      <c r="H8" s="467"/>
      <c r="I8" s="475"/>
      <c r="K8" s="507" t="str">
        <f>IF(Målinger!I131="Pass","Pass","Fail")</f>
        <v>Fail</v>
      </c>
    </row>
    <row r="9" spans="2:11" ht="17.100000000000001" customHeight="1" x14ac:dyDescent="0.25">
      <c r="B9" s="497"/>
      <c r="C9" s="488"/>
      <c r="D9" s="464"/>
      <c r="E9" s="463"/>
      <c r="F9" s="496"/>
      <c r="G9" s="464"/>
      <c r="H9" s="491"/>
      <c r="I9" s="494"/>
      <c r="K9" s="508"/>
    </row>
    <row r="10" spans="2:11" ht="17.100000000000001" customHeight="1" x14ac:dyDescent="0.25">
      <c r="B10" s="487"/>
      <c r="C10" s="488"/>
      <c r="D10" s="497"/>
      <c r="E10" s="463"/>
      <c r="F10" s="496"/>
      <c r="G10" s="464"/>
      <c r="H10" s="464"/>
      <c r="I10" s="464"/>
      <c r="K10" s="508"/>
    </row>
    <row r="11" spans="2:11" ht="17.100000000000001" customHeight="1" x14ac:dyDescent="0.25">
      <c r="B11" s="487"/>
      <c r="C11" s="488"/>
      <c r="D11" s="497" t="str">
        <f>U1_Forside!A48</f>
        <v>3.1 kV-Nøyaktighet</v>
      </c>
      <c r="E11" s="463"/>
      <c r="F11" s="496"/>
      <c r="G11" s="464"/>
      <c r="H11" s="464"/>
      <c r="I11" s="464"/>
      <c r="K11" s="507" t="str">
        <f>IF('U4_Rør_Gen 1(2)'!J14="Pass","Pass","Fail")</f>
        <v>Fail</v>
      </c>
    </row>
    <row r="12" spans="2:11" ht="17.100000000000001" customHeight="1" x14ac:dyDescent="0.2">
      <c r="B12" s="487"/>
      <c r="C12" s="488"/>
      <c r="D12" s="464"/>
      <c r="E12" s="463"/>
      <c r="F12" s="496"/>
      <c r="G12" s="475"/>
      <c r="H12" s="464"/>
      <c r="I12" s="464"/>
      <c r="K12" s="508"/>
    </row>
    <row r="13" spans="2:11" ht="17.100000000000001" customHeight="1" x14ac:dyDescent="0.25">
      <c r="B13" s="497"/>
      <c r="C13" s="488"/>
      <c r="D13" s="464"/>
      <c r="E13" s="464"/>
      <c r="F13" s="496"/>
      <c r="G13" s="500"/>
      <c r="H13" s="499"/>
      <c r="I13" s="464"/>
      <c r="K13" s="508"/>
    </row>
    <row r="14" spans="2:11" ht="17.100000000000001" customHeight="1" x14ac:dyDescent="0.25">
      <c r="B14" s="487"/>
      <c r="C14" s="488"/>
      <c r="D14" s="497" t="str">
        <f>U1_Forside!A49</f>
        <v>3.2 kV-Reproduserbarhet</v>
      </c>
      <c r="E14" s="464"/>
      <c r="F14" s="464"/>
      <c r="G14" s="500"/>
      <c r="H14" s="500"/>
      <c r="I14" s="464"/>
      <c r="K14" s="507" t="str">
        <f>IF(AND(Målinger!M16="Pass",Målinger!M26="Pass",Målinger!M36="Pass",Målinger!O16="Pass",Målinger!O26="Pass",Målinger!O36="Pass"),"Pass","Fail")</f>
        <v>Fail</v>
      </c>
    </row>
    <row r="15" spans="2:11" ht="17.100000000000001" customHeight="1" x14ac:dyDescent="0.25">
      <c r="B15" s="487"/>
      <c r="C15" s="488"/>
      <c r="D15" s="497"/>
      <c r="E15" s="464"/>
      <c r="F15" s="464"/>
      <c r="G15" s="500"/>
      <c r="H15" s="500"/>
      <c r="I15" s="464"/>
      <c r="K15" s="508"/>
    </row>
    <row r="16" spans="2:11" ht="17.100000000000001" customHeight="1" x14ac:dyDescent="0.2">
      <c r="B16" s="489"/>
      <c r="C16" s="490"/>
      <c r="D16" s="464"/>
      <c r="E16" s="464"/>
      <c r="F16" s="464"/>
      <c r="G16" s="500"/>
      <c r="H16" s="500"/>
      <c r="I16" s="464"/>
      <c r="K16" s="508"/>
    </row>
    <row r="17" spans="1:11" ht="17.100000000000001" customHeight="1" x14ac:dyDescent="0.25">
      <c r="B17" s="495"/>
      <c r="C17" s="496"/>
      <c r="D17" s="497" t="str">
        <f>U1_Forside!A50</f>
        <v>3.3 HVL</v>
      </c>
      <c r="E17" s="464"/>
      <c r="F17" s="469"/>
      <c r="G17" s="501"/>
      <c r="H17" s="500"/>
      <c r="I17" s="464"/>
      <c r="K17" s="507" t="str">
        <f>IF(AND(Målinger!AD12="Pass",Målinger!AD19="Pass"),"Pass","Fail")</f>
        <v>Fail</v>
      </c>
    </row>
    <row r="18" spans="1:11" ht="17.100000000000001" customHeight="1" x14ac:dyDescent="0.25">
      <c r="B18" s="497"/>
      <c r="C18" s="496"/>
      <c r="D18" s="464"/>
      <c r="E18" s="464"/>
      <c r="F18" s="464"/>
      <c r="G18" s="467"/>
      <c r="H18" s="501"/>
      <c r="I18" s="464"/>
      <c r="K18" s="508"/>
    </row>
    <row r="19" spans="1:11" ht="17.100000000000001" customHeight="1" x14ac:dyDescent="0.2">
      <c r="B19" s="463"/>
      <c r="C19" s="496"/>
      <c r="D19" s="464"/>
      <c r="E19" s="464"/>
      <c r="F19" s="496"/>
      <c r="G19" s="500"/>
      <c r="H19" s="467"/>
      <c r="I19" s="475"/>
      <c r="K19" s="508"/>
    </row>
    <row r="20" spans="1:11" ht="17.100000000000001" customHeight="1" x14ac:dyDescent="0.25">
      <c r="B20" s="463"/>
      <c r="C20" s="464"/>
      <c r="D20" s="497" t="str">
        <f>U1_Forside!A51</f>
        <v>3.4 Eksponeringstid</v>
      </c>
      <c r="E20" s="464"/>
      <c r="F20" s="464"/>
      <c r="G20" s="500"/>
      <c r="H20" s="500"/>
      <c r="I20" s="475"/>
      <c r="K20" s="507" t="str">
        <f>IF(AND(Målinger!W10="Pass",Målinger!W14="Pass",Målinger!X10="Pass",Målinger!X14="Pass",Målinger!V26="Pass",Målinger!X26="Pass"),"Pass","Fail")</f>
        <v>Fail</v>
      </c>
    </row>
    <row r="21" spans="1:11" ht="17.100000000000001" customHeight="1" x14ac:dyDescent="0.2">
      <c r="B21" s="463"/>
      <c r="C21" s="464"/>
      <c r="D21" s="464"/>
      <c r="E21" s="464"/>
      <c r="F21" s="464"/>
      <c r="G21" s="500"/>
      <c r="H21" s="500"/>
      <c r="I21" s="475"/>
      <c r="K21" s="508"/>
    </row>
    <row r="22" spans="1:11" ht="17.100000000000001" customHeight="1" x14ac:dyDescent="0.2">
      <c r="B22" s="463"/>
      <c r="C22" s="464"/>
      <c r="D22" s="464"/>
      <c r="E22" s="464"/>
      <c r="F22" s="464"/>
      <c r="G22" s="500"/>
      <c r="H22" s="500"/>
      <c r="I22" s="475"/>
      <c r="K22" s="508"/>
    </row>
    <row r="23" spans="1:11" ht="17.100000000000001" customHeight="1" x14ac:dyDescent="0.25">
      <c r="B23" s="497"/>
      <c r="C23" s="464"/>
      <c r="D23" s="497" t="str">
        <f>U1_Forside!E46</f>
        <v>3.5 Stråleutbytte</v>
      </c>
      <c r="E23" s="464"/>
      <c r="F23" s="469"/>
      <c r="G23" s="503"/>
      <c r="H23" s="500"/>
      <c r="I23" s="475"/>
      <c r="K23" s="507" t="str">
        <f>IF(AND(Målinger!AI16="Pass",Målinger!AI26="Pass",Målinger!AI37="Pass",Målinger!AJ16="Pass",Målinger!AJ26="Pass",Målinger!AJ37="Pass"),"Pass","Fail")</f>
        <v>Fail</v>
      </c>
    </row>
    <row r="24" spans="1:11" ht="17.100000000000001" customHeight="1" x14ac:dyDescent="0.2">
      <c r="B24" s="463"/>
      <c r="C24" s="464"/>
      <c r="D24" s="464"/>
      <c r="E24" s="464"/>
      <c r="F24" s="464"/>
      <c r="G24" s="467"/>
      <c r="H24" s="501"/>
      <c r="I24" s="475"/>
      <c r="K24" s="508"/>
    </row>
    <row r="25" spans="1:11" ht="17.100000000000001" customHeight="1" x14ac:dyDescent="0.2">
      <c r="B25" s="463"/>
      <c r="C25" s="464"/>
      <c r="D25" s="464"/>
      <c r="E25" s="464"/>
      <c r="F25" s="496"/>
      <c r="G25" s="500"/>
      <c r="H25" s="467"/>
      <c r="I25" s="475"/>
      <c r="K25" s="508"/>
    </row>
    <row r="26" spans="1:11" ht="17.100000000000001" customHeight="1" x14ac:dyDescent="0.25">
      <c r="B26" s="468"/>
      <c r="C26" s="464"/>
      <c r="D26" s="497" t="str">
        <f>U1_Forside!E47</f>
        <v>4.1 Bord-AEC, Autom. eksponeringskontroll</v>
      </c>
      <c r="E26" s="464"/>
      <c r="F26" s="464"/>
      <c r="G26" s="500"/>
      <c r="H26" s="500"/>
      <c r="I26" s="475"/>
      <c r="K26" s="507" t="str">
        <f>IF(AND(Målinger!J49="Pass",Målinger!J65="Pass",Målinger!S57="Pass"),"Pass","Fail")</f>
        <v>Fail</v>
      </c>
    </row>
    <row r="27" spans="1:11" ht="17.100000000000001" customHeight="1" x14ac:dyDescent="0.2">
      <c r="A27" s="198"/>
      <c r="B27" s="468"/>
      <c r="C27" s="464"/>
      <c r="D27" s="464"/>
      <c r="E27" s="464"/>
      <c r="F27" s="464"/>
      <c r="G27" s="500"/>
      <c r="H27" s="500"/>
      <c r="I27" s="475"/>
      <c r="K27" s="508"/>
    </row>
    <row r="28" spans="1:11" ht="17.100000000000001" customHeight="1" x14ac:dyDescent="0.2">
      <c r="A28" s="198"/>
      <c r="B28" s="468"/>
      <c r="C28" s="464"/>
      <c r="D28" s="464"/>
      <c r="E28" s="464"/>
      <c r="F28" s="464"/>
      <c r="G28" s="474"/>
      <c r="H28" s="500"/>
      <c r="I28" s="475"/>
      <c r="K28" s="508"/>
    </row>
    <row r="29" spans="1:11" ht="17.100000000000001" customHeight="1" x14ac:dyDescent="0.25">
      <c r="A29" s="198"/>
      <c r="B29" s="468"/>
      <c r="C29" s="464"/>
      <c r="D29" s="497" t="str">
        <f>U1_Forside!E48</f>
        <v>4.2 Vegg-AEC, Autom. eksponeringskontroll</v>
      </c>
      <c r="E29" s="464"/>
      <c r="F29" s="469"/>
      <c r="G29" s="503"/>
      <c r="H29" s="500"/>
      <c r="I29" s="475"/>
      <c r="K29" s="507" t="str">
        <f>IF(AND(Målinger!J76="Pass",Målinger!J93="Pass",Målinger!S84="Pass"),"Pass","Fail")</f>
        <v>Fail</v>
      </c>
    </row>
    <row r="30" spans="1:11" ht="17.100000000000001" customHeight="1" x14ac:dyDescent="0.2">
      <c r="A30" s="198"/>
      <c r="B30" s="468"/>
      <c r="C30" s="464"/>
      <c r="D30" s="464"/>
      <c r="E30" s="464"/>
      <c r="F30" s="464"/>
      <c r="G30" s="467"/>
      <c r="H30" s="501"/>
      <c r="I30" s="475"/>
      <c r="K30" s="508"/>
    </row>
    <row r="31" spans="1:11" ht="17.100000000000001" customHeight="1" x14ac:dyDescent="0.25">
      <c r="A31" s="198"/>
      <c r="B31" s="502"/>
      <c r="C31" s="464"/>
      <c r="D31" s="464"/>
      <c r="E31" s="464"/>
      <c r="F31" s="470"/>
      <c r="G31" s="470"/>
      <c r="H31" s="467"/>
      <c r="I31" s="475"/>
      <c r="K31" s="508"/>
    </row>
    <row r="32" spans="1:11" ht="17.100000000000001" customHeight="1" x14ac:dyDescent="0.25">
      <c r="A32" s="198"/>
      <c r="B32" s="468"/>
      <c r="C32" s="464"/>
      <c r="D32" s="497" t="str">
        <f>U1_Forside!E49</f>
        <v>5. Bildekvalitet</v>
      </c>
      <c r="E32" s="463"/>
      <c r="F32" s="463"/>
      <c r="G32" s="464"/>
      <c r="H32" s="468"/>
      <c r="I32" s="468"/>
      <c r="K32" s="507" t="str">
        <f>IF(OR(Målinger!G163="Fail",Målinger!G171="Fail",Målinger!G180="Fail",Målinger!G189="Fail"),"Fail",IF(AND(Målinger!G163="",Målinger!G171="",Målinger!G180="",Målinger!G189=""),"Fail","Pass"))</f>
        <v>Fail</v>
      </c>
    </row>
    <row r="33" spans="1:12" ht="17.100000000000001" customHeight="1" x14ac:dyDescent="0.2">
      <c r="A33" s="198"/>
      <c r="B33" s="504"/>
      <c r="C33" s="464"/>
    </row>
    <row r="34" spans="1:12" ht="17.100000000000001" customHeight="1" x14ac:dyDescent="0.2">
      <c r="A34" s="198"/>
      <c r="B34" s="468"/>
      <c r="C34" s="464"/>
      <c r="L34" s="59"/>
    </row>
    <row r="35" spans="1:12" ht="17.100000000000001" customHeight="1" x14ac:dyDescent="0.2">
      <c r="A35" s="198"/>
      <c r="B35" s="468"/>
      <c r="C35" s="464"/>
    </row>
    <row r="36" spans="1:12" ht="17.100000000000001" customHeight="1" x14ac:dyDescent="0.2">
      <c r="A36" s="198"/>
      <c r="B36" s="468"/>
      <c r="C36" s="464"/>
    </row>
    <row r="37" spans="1:12" ht="17.100000000000001" customHeight="1" x14ac:dyDescent="0.2">
      <c r="A37" s="198"/>
      <c r="B37" s="468"/>
      <c r="C37" s="464"/>
    </row>
    <row r="38" spans="1:12" ht="17.100000000000001" customHeight="1" x14ac:dyDescent="0.2">
      <c r="A38" s="198"/>
      <c r="B38" s="468"/>
      <c r="C38" s="464"/>
    </row>
    <row r="39" spans="1:12" ht="17.100000000000001" customHeight="1" x14ac:dyDescent="0.2">
      <c r="A39" s="198"/>
      <c r="B39" s="468"/>
      <c r="C39" s="464"/>
    </row>
    <row r="40" spans="1:12" ht="17.100000000000001" customHeight="1" x14ac:dyDescent="0.25">
      <c r="A40" s="198"/>
      <c r="B40" s="498"/>
      <c r="C40" s="463"/>
      <c r="D40" s="463"/>
      <c r="E40" s="463"/>
      <c r="F40" s="463"/>
      <c r="G40" s="463"/>
      <c r="H40" s="464"/>
      <c r="I40" s="464"/>
    </row>
    <row r="41" spans="1:12" ht="17.100000000000001" customHeight="1" x14ac:dyDescent="0.2">
      <c r="A41" s="198"/>
      <c r="B41" s="495"/>
      <c r="C41" s="463"/>
      <c r="D41" s="505"/>
      <c r="E41" s="505"/>
      <c r="F41" s="505"/>
      <c r="G41" s="505"/>
      <c r="H41" s="463"/>
      <c r="I41" s="463"/>
      <c r="J41" s="463"/>
    </row>
    <row r="42" spans="1:12" ht="17.100000000000001" customHeight="1" x14ac:dyDescent="0.25">
      <c r="A42" s="198"/>
      <c r="B42" s="498"/>
      <c r="C42" s="468"/>
      <c r="D42" s="470"/>
      <c r="E42" s="470"/>
      <c r="F42" s="470"/>
      <c r="G42" s="470"/>
      <c r="H42" s="505"/>
      <c r="I42" s="468"/>
      <c r="J42" s="468"/>
    </row>
    <row r="43" spans="1:12" ht="17.100000000000001" customHeight="1" x14ac:dyDescent="0.2">
      <c r="A43" s="198"/>
      <c r="B43" s="463"/>
      <c r="C43" s="463"/>
      <c r="D43" s="464"/>
      <c r="E43" s="464"/>
      <c r="F43" s="464"/>
      <c r="G43" s="464"/>
      <c r="H43" s="463"/>
      <c r="I43" s="463"/>
      <c r="J43" s="463"/>
      <c r="K43" s="59"/>
    </row>
    <row r="44" spans="1:12" ht="17.100000000000001" customHeight="1" x14ac:dyDescent="0.2">
      <c r="A44" s="198"/>
      <c r="B44" s="463"/>
      <c r="C44" s="464"/>
      <c r="D44" s="470"/>
      <c r="E44" s="470"/>
      <c r="F44" s="474"/>
      <c r="G44" s="474"/>
      <c r="H44" s="464"/>
      <c r="I44" s="464"/>
      <c r="J44" s="470"/>
      <c r="K44" s="59"/>
    </row>
    <row r="45" spans="1:12" x14ac:dyDescent="0.2">
      <c r="A45" s="198"/>
      <c r="B45" s="463"/>
      <c r="C45" s="463"/>
      <c r="D45" s="470"/>
      <c r="E45" s="470"/>
      <c r="F45" s="474"/>
      <c r="G45" s="506"/>
      <c r="H45" s="475"/>
      <c r="I45" s="475"/>
      <c r="J45" s="470"/>
      <c r="K45" s="59"/>
    </row>
    <row r="46" spans="1:12" x14ac:dyDescent="0.2">
      <c r="A46" s="198"/>
      <c r="B46" s="463"/>
      <c r="C46" s="463"/>
      <c r="D46" s="470"/>
      <c r="E46" s="470"/>
      <c r="F46" s="474"/>
      <c r="G46" s="506"/>
      <c r="H46" s="467"/>
      <c r="I46" s="467"/>
      <c r="J46" s="470"/>
      <c r="K46" s="59"/>
    </row>
    <row r="47" spans="1:12" x14ac:dyDescent="0.2">
      <c r="B47" s="274"/>
      <c r="C47" s="274"/>
      <c r="D47" s="274"/>
      <c r="E47" s="274"/>
      <c r="F47" s="274"/>
      <c r="G47" s="274"/>
      <c r="H47" s="274"/>
      <c r="I47" s="274"/>
      <c r="J47" s="274"/>
    </row>
    <row r="48" spans="1:12" x14ac:dyDescent="0.2">
      <c r="B48" s="274"/>
      <c r="C48" s="274"/>
      <c r="D48" s="274"/>
      <c r="E48" s="274"/>
      <c r="F48" s="274"/>
      <c r="G48" s="274"/>
      <c r="H48" s="274"/>
      <c r="I48" s="274"/>
      <c r="J48" s="274"/>
    </row>
    <row r="49" spans="2:10" x14ac:dyDescent="0.2">
      <c r="B49" s="274"/>
      <c r="C49" s="274"/>
      <c r="D49" s="274"/>
      <c r="E49" s="274"/>
      <c r="F49" s="274"/>
      <c r="G49" s="274"/>
      <c r="H49" s="274"/>
      <c r="I49" s="274"/>
      <c r="J49" s="274"/>
    </row>
    <row r="50" spans="2:10" x14ac:dyDescent="0.2">
      <c r="B50" s="274"/>
      <c r="C50" s="274"/>
      <c r="D50" s="274"/>
      <c r="E50" s="274"/>
      <c r="F50" s="274"/>
      <c r="G50" s="274"/>
      <c r="H50" s="274"/>
      <c r="I50" s="274"/>
      <c r="J50" s="274"/>
    </row>
    <row r="51" spans="2:10" x14ac:dyDescent="0.2">
      <c r="B51" s="274"/>
      <c r="C51" s="274"/>
      <c r="D51" s="274"/>
      <c r="E51" s="274"/>
      <c r="F51" s="274"/>
      <c r="G51" s="274"/>
      <c r="H51" s="274"/>
      <c r="I51" s="274"/>
      <c r="J51" s="274"/>
    </row>
    <row r="52" spans="2:10" x14ac:dyDescent="0.2">
      <c r="B52" s="274"/>
      <c r="C52" s="274"/>
      <c r="D52" s="274"/>
      <c r="E52" s="274"/>
      <c r="F52" s="274"/>
      <c r="G52" s="274"/>
      <c r="H52" s="274"/>
      <c r="I52" s="274"/>
      <c r="J52" s="274"/>
    </row>
    <row r="53" spans="2:10" x14ac:dyDescent="0.2">
      <c r="B53" s="274"/>
      <c r="C53" s="274"/>
      <c r="D53" s="274"/>
      <c r="E53" s="274"/>
      <c r="F53" s="274"/>
      <c r="G53" s="274"/>
      <c r="H53" s="274"/>
      <c r="I53" s="274"/>
      <c r="J53" s="274"/>
    </row>
    <row r="54" spans="2:10" x14ac:dyDescent="0.2">
      <c r="B54" s="274"/>
      <c r="C54" s="274"/>
      <c r="D54" s="274"/>
      <c r="E54" s="274"/>
      <c r="F54" s="274"/>
      <c r="G54" s="274"/>
      <c r="H54" s="274"/>
      <c r="I54" s="274"/>
      <c r="J54" s="274"/>
    </row>
    <row r="55" spans="2:10" x14ac:dyDescent="0.2">
      <c r="B55" s="274"/>
      <c r="C55" s="274"/>
      <c r="D55" s="274"/>
      <c r="E55" s="274"/>
      <c r="F55" s="274"/>
      <c r="G55" s="274"/>
      <c r="H55" s="274"/>
      <c r="I55" s="274"/>
      <c r="J55" s="274"/>
    </row>
  </sheetData>
  <conditionalFormatting sqref="J44:J46 F31:G31">
    <cfRule type="containsText" dxfId="153" priority="17" operator="containsText" text="Fail">
      <formula>NOT(ISERROR(SEARCH("Fail",F31)))</formula>
    </cfRule>
    <cfRule type="containsText" dxfId="152" priority="18" operator="containsText" text="Pass">
      <formula>NOT(ISERROR(SEARCH("Pass",F31)))</formula>
    </cfRule>
  </conditionalFormatting>
  <conditionalFormatting sqref="I8">
    <cfRule type="containsText" dxfId="151" priority="13" operator="containsText" text="Fail">
      <formula>NOT(ISERROR(SEARCH("Fail",I8)))</formula>
    </cfRule>
    <cfRule type="containsText" dxfId="150" priority="14" operator="containsText" text="Pass">
      <formula>NOT(ISERROR(SEARCH("Pass",I8)))</formula>
    </cfRule>
  </conditionalFormatting>
  <conditionalFormatting sqref="I19:I31">
    <cfRule type="containsText" dxfId="149" priority="11" operator="containsText" text="Fail">
      <formula>NOT(ISERROR(SEARCH("Fail",I19)))</formula>
    </cfRule>
    <cfRule type="containsText" dxfId="148" priority="12" operator="containsText" text="Pass">
      <formula>NOT(ISERROR(SEARCH("Pass",I19)))</formula>
    </cfRule>
  </conditionalFormatting>
  <conditionalFormatting sqref="K32 K26 K23 K20 K17 K14 K11 K8 K29">
    <cfRule type="containsText" dxfId="147" priority="1" operator="containsText" text="Fail">
      <formula>NOT(ISERROR(SEARCH("Fail",K8)))</formula>
    </cfRule>
    <cfRule type="containsText" dxfId="146" priority="2" operator="containsText" text="Pass">
      <formula>NOT(ISERROR(SEARCH("Pass",K8)))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1"/>
  <sheetViews>
    <sheetView showGridLines="0" showRuler="0" view="pageLayout" zoomScale="115" zoomScaleNormal="75" zoomScaleSheetLayoutView="85" zoomScalePageLayoutView="115" workbookViewId="0">
      <selection activeCell="G22" sqref="G22"/>
    </sheetView>
  </sheetViews>
  <sheetFormatPr baseColWidth="10" defaultRowHeight="12.75" x14ac:dyDescent="0.2"/>
  <cols>
    <col min="1" max="1" width="2.5703125" customWidth="1"/>
    <col min="2" max="18" width="9.140625" customWidth="1"/>
  </cols>
  <sheetData>
    <row r="1" spans="1:9" x14ac:dyDescent="0.2">
      <c r="B1" s="182"/>
    </row>
    <row r="2" spans="1:9" ht="15.75" x14ac:dyDescent="0.25">
      <c r="B2" s="183" t="str">
        <f>U1_Forside!A47</f>
        <v>2. DAP målinger</v>
      </c>
    </row>
    <row r="3" spans="1:9" x14ac:dyDescent="0.2">
      <c r="B3" s="59" t="s">
        <v>157</v>
      </c>
    </row>
    <row r="4" spans="1:9" x14ac:dyDescent="0.2">
      <c r="B4" s="59" t="s">
        <v>443</v>
      </c>
    </row>
    <row r="5" spans="1:9" x14ac:dyDescent="0.2">
      <c r="B5" s="55"/>
    </row>
    <row r="6" spans="1:9" x14ac:dyDescent="0.2">
      <c r="D6" s="188" t="str">
        <f>Målinger!C117</f>
        <v>Brukt kV</v>
      </c>
      <c r="E6" s="56" t="s">
        <v>158</v>
      </c>
      <c r="F6" s="56" t="s">
        <v>159</v>
      </c>
      <c r="G6" s="188" t="str">
        <f>Målinger!G117</f>
        <v>Nka</v>
      </c>
      <c r="H6" s="188" t="str">
        <f>Målinger!H117</f>
        <v>Avvik</v>
      </c>
      <c r="I6" s="704"/>
    </row>
    <row r="7" spans="1:9" x14ac:dyDescent="0.2">
      <c r="D7" s="188"/>
      <c r="E7" s="188" t="str">
        <f>Målinger!D118</f>
        <v>µGym2</v>
      </c>
      <c r="F7" s="188" t="str">
        <f>Målinger!F118</f>
        <v>µGym2</v>
      </c>
      <c r="G7" s="188" t="str">
        <f>Målinger!G118</f>
        <v>korr.faktor</v>
      </c>
      <c r="H7" s="56" t="s">
        <v>160</v>
      </c>
      <c r="I7" s="704"/>
    </row>
    <row r="8" spans="1:9" x14ac:dyDescent="0.2">
      <c r="A8" s="59"/>
      <c r="D8" s="188" t="str">
        <f>IF(Målinger!C119="","",Målinger!C119)</f>
        <v/>
      </c>
      <c r="E8" s="188" t="str">
        <f>IF(Målinger!D119="","",Målinger!D119)</f>
        <v/>
      </c>
      <c r="F8" s="189" t="str">
        <f>Målinger!F119</f>
        <v/>
      </c>
      <c r="G8" s="189" t="str">
        <f>Målinger!G119</f>
        <v/>
      </c>
      <c r="H8" s="190" t="str">
        <f>Målinger!H119</f>
        <v/>
      </c>
      <c r="I8" s="188" t="str">
        <f>IF(H8="","",(IF(ABS(H8)&gt;10%,"Fail","Pass")))</f>
        <v/>
      </c>
    </row>
    <row r="9" spans="1:9" x14ac:dyDescent="0.2">
      <c r="D9" s="188" t="str">
        <f>IF(Målinger!C120="","",Målinger!C120)</f>
        <v/>
      </c>
      <c r="E9" s="188" t="str">
        <f>IF(Målinger!D120="","",Målinger!D120)</f>
        <v/>
      </c>
      <c r="F9" s="189" t="str">
        <f>Målinger!F120</f>
        <v/>
      </c>
      <c r="G9" s="189" t="str">
        <f>Målinger!G120</f>
        <v/>
      </c>
      <c r="H9" s="190" t="str">
        <f>Målinger!H120</f>
        <v/>
      </c>
      <c r="I9" s="188" t="str">
        <f t="shared" ref="I9:I19" si="0">IF(H9="","",(IF(ABS(H9)&gt;10%,"Fail","Pass")))</f>
        <v/>
      </c>
    </row>
    <row r="10" spans="1:9" x14ac:dyDescent="0.2">
      <c r="D10" s="188" t="str">
        <f>IF(Målinger!C121="","",Målinger!C121)</f>
        <v/>
      </c>
      <c r="E10" s="188" t="str">
        <f>IF(Målinger!D121="","",Målinger!D121)</f>
        <v/>
      </c>
      <c r="F10" s="189" t="str">
        <f>Målinger!F121</f>
        <v/>
      </c>
      <c r="G10" s="189" t="str">
        <f>Målinger!G121</f>
        <v/>
      </c>
      <c r="H10" s="190" t="str">
        <f>Målinger!H121</f>
        <v/>
      </c>
      <c r="I10" s="188" t="str">
        <f t="shared" si="0"/>
        <v/>
      </c>
    </row>
    <row r="11" spans="1:9" x14ac:dyDescent="0.2">
      <c r="D11" s="188" t="str">
        <f>IF(Målinger!C122="","",Målinger!C122)</f>
        <v/>
      </c>
      <c r="E11" s="188" t="str">
        <f>IF(Målinger!D122="","",Målinger!D122)</f>
        <v/>
      </c>
      <c r="F11" s="189" t="str">
        <f>Målinger!F122</f>
        <v/>
      </c>
      <c r="G11" s="189" t="str">
        <f>Målinger!G122</f>
        <v/>
      </c>
      <c r="H11" s="190" t="str">
        <f>Målinger!H122</f>
        <v/>
      </c>
      <c r="I11" s="188" t="str">
        <f t="shared" si="0"/>
        <v/>
      </c>
    </row>
    <row r="12" spans="1:9" x14ac:dyDescent="0.2">
      <c r="D12" s="188" t="str">
        <f>IF(Målinger!C123="","",Målinger!C123)</f>
        <v/>
      </c>
      <c r="E12" s="188" t="str">
        <f>IF(Målinger!D123="","",Målinger!D123)</f>
        <v/>
      </c>
      <c r="F12" s="189" t="str">
        <f>Målinger!F123</f>
        <v/>
      </c>
      <c r="G12" s="189" t="str">
        <f>Målinger!G123</f>
        <v/>
      </c>
      <c r="H12" s="190" t="str">
        <f>Målinger!H123</f>
        <v/>
      </c>
      <c r="I12" s="188" t="str">
        <f t="shared" si="0"/>
        <v/>
      </c>
    </row>
    <row r="13" spans="1:9" x14ac:dyDescent="0.2">
      <c r="D13" s="188" t="str">
        <f>IF(Målinger!C124="","",Målinger!C124)</f>
        <v/>
      </c>
      <c r="E13" s="188" t="str">
        <f>IF(Målinger!D124="","",Målinger!D124)</f>
        <v/>
      </c>
      <c r="F13" s="189" t="str">
        <f>Målinger!F124</f>
        <v/>
      </c>
      <c r="G13" s="189" t="str">
        <f>Målinger!G124</f>
        <v/>
      </c>
      <c r="H13" s="190" t="str">
        <f>Målinger!H124</f>
        <v/>
      </c>
      <c r="I13" s="188" t="str">
        <f t="shared" si="0"/>
        <v/>
      </c>
    </row>
    <row r="14" spans="1:9" x14ac:dyDescent="0.2">
      <c r="D14" s="188" t="str">
        <f>IF(Målinger!C125="","",Målinger!C125)</f>
        <v/>
      </c>
      <c r="E14" s="188" t="str">
        <f>IF(Målinger!D125="","",Målinger!D125)</f>
        <v/>
      </c>
      <c r="F14" s="189" t="str">
        <f>Målinger!F125</f>
        <v/>
      </c>
      <c r="G14" s="189" t="str">
        <f>Målinger!G125</f>
        <v/>
      </c>
      <c r="H14" s="190" t="str">
        <f>Målinger!H125</f>
        <v/>
      </c>
      <c r="I14" s="188" t="str">
        <f t="shared" si="0"/>
        <v/>
      </c>
    </row>
    <row r="15" spans="1:9" x14ac:dyDescent="0.2">
      <c r="D15" s="188" t="str">
        <f>IF(Målinger!C126="","",Målinger!C126)</f>
        <v/>
      </c>
      <c r="E15" s="188" t="str">
        <f>IF(Målinger!D126="","",Målinger!D126)</f>
        <v/>
      </c>
      <c r="F15" s="189" t="str">
        <f>Målinger!F126</f>
        <v/>
      </c>
      <c r="G15" s="189" t="str">
        <f>Målinger!G126</f>
        <v/>
      </c>
      <c r="H15" s="190" t="str">
        <f>Målinger!H126</f>
        <v/>
      </c>
      <c r="I15" s="188" t="str">
        <f t="shared" si="0"/>
        <v/>
      </c>
    </row>
    <row r="16" spans="1:9" x14ac:dyDescent="0.2">
      <c r="D16" s="188" t="str">
        <f>IF(Målinger!C127="","",Målinger!C127)</f>
        <v/>
      </c>
      <c r="E16" s="188" t="str">
        <f>IF(Målinger!D127="","",Målinger!D127)</f>
        <v/>
      </c>
      <c r="F16" s="189" t="str">
        <f>Målinger!F127</f>
        <v/>
      </c>
      <c r="G16" s="189" t="str">
        <f>Målinger!G127</f>
        <v/>
      </c>
      <c r="H16" s="190" t="str">
        <f>Målinger!H127</f>
        <v/>
      </c>
      <c r="I16" s="188" t="str">
        <f t="shared" si="0"/>
        <v/>
      </c>
    </row>
    <row r="17" spans="2:10" x14ac:dyDescent="0.2">
      <c r="D17" s="188" t="str">
        <f>IF(Målinger!C128="","",Målinger!C128)</f>
        <v/>
      </c>
      <c r="E17" s="188" t="str">
        <f>IF(Målinger!D128="","",Målinger!D128)</f>
        <v/>
      </c>
      <c r="F17" s="189" t="str">
        <f>Målinger!F128</f>
        <v/>
      </c>
      <c r="G17" s="189" t="str">
        <f>Målinger!G128</f>
        <v/>
      </c>
      <c r="H17" s="190" t="str">
        <f>Målinger!H128</f>
        <v/>
      </c>
      <c r="I17" s="188" t="str">
        <f t="shared" si="0"/>
        <v/>
      </c>
    </row>
    <row r="18" spans="2:10" x14ac:dyDescent="0.2">
      <c r="D18" s="188" t="str">
        <f>IF(Målinger!C129="","",Målinger!C129)</f>
        <v/>
      </c>
      <c r="E18" s="188" t="str">
        <f>IF(Målinger!D129="","",Målinger!D129)</f>
        <v/>
      </c>
      <c r="F18" s="189" t="str">
        <f>Målinger!F129</f>
        <v/>
      </c>
      <c r="G18" s="189" t="str">
        <f>Målinger!G129</f>
        <v/>
      </c>
      <c r="H18" s="190" t="str">
        <f>Målinger!H129</f>
        <v/>
      </c>
      <c r="I18" s="188" t="str">
        <f t="shared" si="0"/>
        <v/>
      </c>
    </row>
    <row r="19" spans="2:10" x14ac:dyDescent="0.2">
      <c r="D19" s="188" t="str">
        <f>IF(Målinger!C130="","",Målinger!C130)</f>
        <v/>
      </c>
      <c r="E19" s="188" t="str">
        <f>IF(Målinger!D130="","",Målinger!D130)</f>
        <v/>
      </c>
      <c r="F19" s="189" t="str">
        <f>Målinger!F130</f>
        <v/>
      </c>
      <c r="G19" s="189" t="str">
        <f>Målinger!G130</f>
        <v/>
      </c>
      <c r="H19" s="190" t="str">
        <f>Målinger!H130</f>
        <v/>
      </c>
      <c r="I19" s="188" t="str">
        <f t="shared" si="0"/>
        <v/>
      </c>
      <c r="J19" s="703" t="str">
        <f>Målinger!I131</f>
        <v/>
      </c>
    </row>
    <row r="20" spans="2:10" x14ac:dyDescent="0.2">
      <c r="D20" s="834"/>
      <c r="E20" s="834"/>
      <c r="F20" s="834"/>
      <c r="G20" s="702"/>
    </row>
    <row r="21" spans="2:10" x14ac:dyDescent="0.2">
      <c r="B21" s="193" t="s">
        <v>161</v>
      </c>
    </row>
    <row r="22" spans="2:10" x14ac:dyDescent="0.2">
      <c r="B22" s="59" t="s">
        <v>420</v>
      </c>
    </row>
    <row r="34" spans="2:13" x14ac:dyDescent="0.2">
      <c r="M34" s="59"/>
    </row>
    <row r="39" spans="2:13" ht="13.5" thickBot="1" x14ac:dyDescent="0.25"/>
    <row r="40" spans="2:13" x14ac:dyDescent="0.2">
      <c r="B40" s="421" t="s">
        <v>156</v>
      </c>
      <c r="C40" s="402"/>
      <c r="D40" s="401"/>
      <c r="E40" s="401"/>
      <c r="F40" s="401"/>
      <c r="G40" s="401"/>
      <c r="H40" s="401"/>
      <c r="I40" s="401"/>
      <c r="J40" s="404"/>
    </row>
    <row r="41" spans="2:13" ht="13.5" thickBot="1" x14ac:dyDescent="0.25">
      <c r="B41" s="422"/>
      <c r="C41" s="423"/>
      <c r="D41" s="406"/>
      <c r="E41" s="406"/>
      <c r="F41" s="406"/>
      <c r="G41" s="406"/>
      <c r="H41" s="406"/>
      <c r="I41" s="406"/>
      <c r="J41" s="408"/>
    </row>
  </sheetData>
  <mergeCells count="1">
    <mergeCell ref="D20:F20"/>
  </mergeCells>
  <conditionalFormatting sqref="J19">
    <cfRule type="containsText" dxfId="145" priority="1" operator="containsText" text="Fail">
      <formula>NOT(ISERROR(SEARCH("Fail",J19)))</formula>
    </cfRule>
    <cfRule type="containsText" dxfId="144" priority="2" operator="containsText" text="Pass">
      <formula>NOT(ISERROR(SEARCH("Pass",J19)))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81"/>
  <sheetViews>
    <sheetView showGridLines="0" showRuler="0" view="pageLayout" zoomScale="115" zoomScaleNormal="75" zoomScaleSheetLayoutView="85" zoomScalePageLayoutView="115" workbookViewId="0">
      <selection activeCell="I50" sqref="I50"/>
    </sheetView>
  </sheetViews>
  <sheetFormatPr baseColWidth="10" defaultRowHeight="12.75" x14ac:dyDescent="0.2"/>
  <cols>
    <col min="1" max="1" width="2.5703125" customWidth="1"/>
    <col min="2" max="18" width="9.140625" customWidth="1"/>
  </cols>
  <sheetData>
    <row r="1" spans="2:11" x14ac:dyDescent="0.2">
      <c r="B1" s="182"/>
    </row>
    <row r="3" spans="2:11" x14ac:dyDescent="0.2">
      <c r="B3" s="182"/>
      <c r="C3" s="182"/>
    </row>
    <row r="4" spans="2:11" ht="15.75" x14ac:dyDescent="0.25">
      <c r="B4" s="183" t="str">
        <f>U1_Forside!A48</f>
        <v>3.1 kV-Nøyaktighet</v>
      </c>
      <c r="C4" s="59"/>
      <c r="D4" s="59"/>
      <c r="E4" s="59"/>
      <c r="F4" s="59"/>
    </row>
    <row r="5" spans="2:11" ht="15.75" x14ac:dyDescent="0.25">
      <c r="B5" s="59" t="s">
        <v>524</v>
      </c>
      <c r="K5" s="183"/>
    </row>
    <row r="6" spans="2:11" x14ac:dyDescent="0.2">
      <c r="C6" s="253" t="s">
        <v>86</v>
      </c>
      <c r="H6" s="253" t="s">
        <v>87</v>
      </c>
    </row>
    <row r="7" spans="2:11" ht="13.5" thickBot="1" x14ac:dyDescent="0.25">
      <c r="B7" s="56" t="s">
        <v>182</v>
      </c>
      <c r="C7" s="56" t="s">
        <v>183</v>
      </c>
      <c r="D7" s="56" t="s">
        <v>184</v>
      </c>
      <c r="E7" s="192"/>
      <c r="F7" s="56" t="s">
        <v>182</v>
      </c>
      <c r="G7" s="56" t="s">
        <v>183</v>
      </c>
      <c r="H7" s="56" t="s">
        <v>184</v>
      </c>
      <c r="I7" s="192"/>
    </row>
    <row r="8" spans="2:11" x14ac:dyDescent="0.2">
      <c r="B8" s="186">
        <f>Målinger!B7</f>
        <v>50</v>
      </c>
      <c r="C8" s="254" t="str">
        <f>Målinger!H7</f>
        <v/>
      </c>
      <c r="D8" s="255" t="str">
        <f>Målinger!I7</f>
        <v/>
      </c>
      <c r="E8" s="377" t="str">
        <f>IF(Målinger!J7="","",Målinger!J7)</f>
        <v/>
      </c>
      <c r="F8" s="376">
        <f>Målinger!B25</f>
        <v>50</v>
      </c>
      <c r="G8" s="256" t="str">
        <f>Målinger!H25</f>
        <v/>
      </c>
      <c r="H8" s="255" t="str">
        <f>Målinger!I25</f>
        <v/>
      </c>
      <c r="I8" s="377" t="str">
        <f>IF(Målinger!J25="","",Målinger!J25)</f>
        <v/>
      </c>
    </row>
    <row r="9" spans="2:11" x14ac:dyDescent="0.2">
      <c r="B9" s="186">
        <f>Målinger!B8</f>
        <v>60</v>
      </c>
      <c r="C9" s="254" t="str">
        <f>Målinger!H8</f>
        <v/>
      </c>
      <c r="D9" s="255" t="str">
        <f>Målinger!I8</f>
        <v/>
      </c>
      <c r="E9" s="378" t="str">
        <f>IF(Målinger!J8="","",Målinger!J8)</f>
        <v/>
      </c>
      <c r="F9" s="376">
        <f>Målinger!B26</f>
        <v>60</v>
      </c>
      <c r="G9" s="256" t="str">
        <f>Målinger!H26</f>
        <v/>
      </c>
      <c r="H9" s="255" t="str">
        <f>Målinger!I26</f>
        <v/>
      </c>
      <c r="I9" s="378" t="str">
        <f>IF(Målinger!J26="","",Målinger!J26)</f>
        <v/>
      </c>
    </row>
    <row r="10" spans="2:11" x14ac:dyDescent="0.2">
      <c r="B10" s="186">
        <f>Målinger!B9</f>
        <v>70</v>
      </c>
      <c r="C10" s="254" t="str">
        <f>Målinger!H9</f>
        <v/>
      </c>
      <c r="D10" s="255" t="str">
        <f>Målinger!I9</f>
        <v/>
      </c>
      <c r="E10" s="378" t="str">
        <f>IF(Målinger!J9="","",Målinger!J9)</f>
        <v/>
      </c>
      <c r="F10" s="376">
        <f>Målinger!B27</f>
        <v>70</v>
      </c>
      <c r="G10" s="256" t="str">
        <f>Målinger!H27</f>
        <v/>
      </c>
      <c r="H10" s="255" t="str">
        <f>Målinger!I27</f>
        <v/>
      </c>
      <c r="I10" s="378" t="str">
        <f>IF(Målinger!J27="","",Målinger!J27)</f>
        <v/>
      </c>
    </row>
    <row r="11" spans="2:11" x14ac:dyDescent="0.2">
      <c r="B11" s="186">
        <f>Målinger!B11</f>
        <v>81</v>
      </c>
      <c r="C11" s="254" t="str">
        <f>Målinger!H11</f>
        <v/>
      </c>
      <c r="D11" s="255" t="str">
        <f>Målinger!I11</f>
        <v/>
      </c>
      <c r="E11" s="378" t="str">
        <f>IF(Målinger!J11="","",Målinger!J11)</f>
        <v/>
      </c>
      <c r="F11" s="376">
        <f>Målinger!B29</f>
        <v>81</v>
      </c>
      <c r="G11" s="256" t="str">
        <f>Målinger!H29</f>
        <v/>
      </c>
      <c r="H11" s="255" t="str">
        <f>Målinger!I29</f>
        <v/>
      </c>
      <c r="I11" s="378" t="str">
        <f>IF(Målinger!J29="","",Målinger!J29)</f>
        <v/>
      </c>
    </row>
    <row r="12" spans="2:11" x14ac:dyDescent="0.2">
      <c r="B12" s="186">
        <f>Målinger!B15</f>
        <v>90</v>
      </c>
      <c r="C12" s="254" t="str">
        <f>Målinger!H15</f>
        <v/>
      </c>
      <c r="D12" s="255" t="str">
        <f>Målinger!I15</f>
        <v/>
      </c>
      <c r="E12" s="378" t="str">
        <f>IF(Målinger!J15="","",Målinger!J15)</f>
        <v/>
      </c>
      <c r="F12" s="376">
        <f>Målinger!B33</f>
        <v>90</v>
      </c>
      <c r="G12" s="256" t="str">
        <f>Målinger!H33</f>
        <v/>
      </c>
      <c r="H12" s="255" t="str">
        <f>Målinger!I33</f>
        <v/>
      </c>
      <c r="I12" s="378" t="str">
        <f>IF(Målinger!J33="","",Målinger!J33)</f>
        <v/>
      </c>
    </row>
    <row r="13" spans="2:11" ht="13.5" thickBot="1" x14ac:dyDescent="0.25">
      <c r="B13" s="186">
        <f>Målinger!B16</f>
        <v>109</v>
      </c>
      <c r="C13" s="254" t="str">
        <f>Målinger!H16</f>
        <v/>
      </c>
      <c r="D13" s="255" t="str">
        <f>Målinger!I16</f>
        <v/>
      </c>
      <c r="E13" s="378" t="str">
        <f>IF(Målinger!J16="","",Målinger!J16)</f>
        <v/>
      </c>
      <c r="F13" s="376">
        <f>Målinger!B34</f>
        <v>109</v>
      </c>
      <c r="G13" s="256" t="str">
        <f>Målinger!H34</f>
        <v/>
      </c>
      <c r="H13" s="255" t="str">
        <f>Målinger!I34</f>
        <v/>
      </c>
      <c r="I13" s="378" t="str">
        <f>IF(Målinger!J34="","",Målinger!J34)</f>
        <v/>
      </c>
    </row>
    <row r="14" spans="2:11" ht="13.5" thickBot="1" x14ac:dyDescent="0.25">
      <c r="B14" s="381">
        <f>Målinger!B17</f>
        <v>125</v>
      </c>
      <c r="C14" s="382" t="str">
        <f>Målinger!H17</f>
        <v/>
      </c>
      <c r="D14" s="383" t="str">
        <f>Målinger!I17</f>
        <v/>
      </c>
      <c r="E14" s="384" t="str">
        <f>IF(Målinger!J17="","",Målinger!J17)</f>
        <v/>
      </c>
      <c r="F14" s="385">
        <f>Målinger!B35</f>
        <v>125</v>
      </c>
      <c r="G14" s="386" t="str">
        <f>Målinger!H35</f>
        <v/>
      </c>
      <c r="H14" s="383" t="str">
        <f>Målinger!I35</f>
        <v/>
      </c>
      <c r="I14" s="384" t="str">
        <f>IF(Målinger!J35="","",Målinger!J35)</f>
        <v/>
      </c>
      <c r="J14" s="387" t="str">
        <f>IF((COUNTIF(E8:E14,"")+COUNTIF(I8:I14,""))&gt;0,"",IF((COUNTIF(E8:E14,"Fail"))+(COUNTIF(I8:I14,"Fail"))&gt;0,"Fail","Pass"))</f>
        <v/>
      </c>
    </row>
    <row r="15" spans="2:11" ht="13.5" thickBot="1" x14ac:dyDescent="0.25">
      <c r="B15" s="425" t="s">
        <v>156</v>
      </c>
      <c r="C15" s="426"/>
      <c r="D15" s="540"/>
      <c r="E15" s="418"/>
      <c r="F15" s="417"/>
      <c r="G15" s="428"/>
      <c r="H15" s="428"/>
      <c r="I15" s="427"/>
      <c r="J15" s="399"/>
    </row>
    <row r="16" spans="2:11" x14ac:dyDescent="0.2">
      <c r="B16" s="258"/>
      <c r="C16" s="185"/>
      <c r="F16" s="59"/>
      <c r="G16" s="185"/>
    </row>
    <row r="17" spans="1:10" ht="15.75" x14ac:dyDescent="0.25">
      <c r="B17" s="257" t="str">
        <f>U1_Forside!A49</f>
        <v>3.2 kV-Reproduserbarhet</v>
      </c>
      <c r="C17" s="185"/>
      <c r="F17" s="59"/>
      <c r="G17" s="185"/>
    </row>
    <row r="18" spans="1:10" x14ac:dyDescent="0.2">
      <c r="B18" s="59" t="s">
        <v>421</v>
      </c>
      <c r="C18" s="185"/>
      <c r="F18" s="59"/>
      <c r="G18" s="185"/>
    </row>
    <row r="19" spans="1:10" x14ac:dyDescent="0.2">
      <c r="B19" s="59"/>
      <c r="D19" s="185"/>
      <c r="F19" s="59"/>
      <c r="G19" s="185"/>
      <c r="H19" s="57" t="str">
        <f>Målinger!M8</f>
        <v>FF</v>
      </c>
      <c r="I19" s="303" t="str">
        <f>Målinger!O8</f>
        <v>GF</v>
      </c>
    </row>
    <row r="20" spans="1:10" x14ac:dyDescent="0.2">
      <c r="B20" s="59"/>
      <c r="D20" s="185"/>
      <c r="G20" s="185"/>
      <c r="H20" s="189" t="str">
        <f>Målinger!M9</f>
        <v/>
      </c>
      <c r="I20" s="189" t="str">
        <f>Målinger!O9</f>
        <v/>
      </c>
    </row>
    <row r="21" spans="1:10" x14ac:dyDescent="0.2">
      <c r="B21" s="59"/>
      <c r="D21" s="185"/>
      <c r="H21" s="189" t="str">
        <f>Målinger!M10</f>
        <v/>
      </c>
      <c r="I21" s="189" t="str">
        <f>Målinger!O10</f>
        <v/>
      </c>
    </row>
    <row r="22" spans="1:10" x14ac:dyDescent="0.2">
      <c r="B22" s="59"/>
      <c r="D22" s="185"/>
      <c r="H22" s="189" t="str">
        <f>Målinger!M11</f>
        <v/>
      </c>
      <c r="I22" s="189" t="str">
        <f>Målinger!O11</f>
        <v/>
      </c>
    </row>
    <row r="23" spans="1:10" x14ac:dyDescent="0.2">
      <c r="B23" s="59"/>
      <c r="H23" s="189" t="str">
        <f>Målinger!M12</f>
        <v/>
      </c>
      <c r="I23" s="189" t="str">
        <f>Målinger!O12</f>
        <v/>
      </c>
    </row>
    <row r="24" spans="1:10" ht="13.5" thickBot="1" x14ac:dyDescent="0.25">
      <c r="B24" s="59"/>
      <c r="G24" s="184" t="s">
        <v>188</v>
      </c>
      <c r="H24" s="372" t="str">
        <f>Målinger!M15</f>
        <v/>
      </c>
      <c r="I24" s="372" t="str">
        <f>Målinger!O15</f>
        <v/>
      </c>
    </row>
    <row r="25" spans="1:10" ht="13.5" thickBot="1" x14ac:dyDescent="0.25">
      <c r="B25" s="198"/>
      <c r="H25" s="374" t="str">
        <f>Målinger!M16</f>
        <v/>
      </c>
      <c r="I25" s="394" t="str">
        <f>Målinger!O16</f>
        <v/>
      </c>
      <c r="J25" s="264" t="str">
        <f>IF((COUNTIF(H25:I25,""))&gt;0,"",IF(COUNTIF(H25:I25,"Fail")&gt;0,"Fail","Pass"))</f>
        <v/>
      </c>
    </row>
    <row r="26" spans="1:10" x14ac:dyDescent="0.2">
      <c r="B26" s="198"/>
      <c r="D26" s="185"/>
      <c r="G26" s="185"/>
      <c r="H26" s="191" t="str">
        <f>Målinger!M19</f>
        <v/>
      </c>
      <c r="I26" s="191" t="str">
        <f>Målinger!O19</f>
        <v/>
      </c>
      <c r="J26" s="275"/>
    </row>
    <row r="27" spans="1:10" x14ac:dyDescent="0.2">
      <c r="A27" s="198"/>
      <c r="B27" s="197"/>
      <c r="D27" s="185"/>
      <c r="H27" s="189" t="str">
        <f>Målinger!M20</f>
        <v/>
      </c>
      <c r="I27" s="189" t="str">
        <f>Målinger!O20</f>
        <v/>
      </c>
      <c r="J27" s="275"/>
    </row>
    <row r="28" spans="1:10" x14ac:dyDescent="0.2">
      <c r="A28" s="198"/>
      <c r="B28" s="197"/>
      <c r="D28" s="185"/>
      <c r="H28" s="189" t="str">
        <f>Målinger!M21</f>
        <v/>
      </c>
      <c r="I28" s="189" t="str">
        <f>Målinger!O21</f>
        <v/>
      </c>
      <c r="J28" s="275"/>
    </row>
    <row r="29" spans="1:10" x14ac:dyDescent="0.2">
      <c r="A29" s="198"/>
      <c r="B29" s="197"/>
      <c r="H29" s="189" t="str">
        <f>Målinger!M22</f>
        <v/>
      </c>
      <c r="I29" s="189" t="str">
        <f>Målinger!O22</f>
        <v/>
      </c>
      <c r="J29" s="275"/>
    </row>
    <row r="30" spans="1:10" ht="16.5" thickBot="1" x14ac:dyDescent="0.3">
      <c r="A30" s="198"/>
      <c r="B30" s="250"/>
      <c r="G30" s="184" t="s">
        <v>525</v>
      </c>
      <c r="H30" s="373" t="str">
        <f>Målinger!M25</f>
        <v/>
      </c>
      <c r="I30" s="372" t="str">
        <f>Målinger!O25</f>
        <v/>
      </c>
      <c r="J30" s="275"/>
    </row>
    <row r="31" spans="1:10" ht="13.5" customHeight="1" thickBot="1" x14ac:dyDescent="0.25">
      <c r="A31" s="198"/>
      <c r="B31" s="197"/>
      <c r="H31" s="374" t="str">
        <f>Målinger!M26</f>
        <v/>
      </c>
      <c r="I31" s="394" t="str">
        <f>Målinger!O26</f>
        <v/>
      </c>
      <c r="J31" s="264" t="str">
        <f>IF((COUNTIF(H31:I31,""))&gt;0,"",IF(COUNTIF(H31:I31,"Fail")&gt;0,"Fail","Pass"))</f>
        <v/>
      </c>
    </row>
    <row r="32" spans="1:10" x14ac:dyDescent="0.2">
      <c r="A32" s="198"/>
      <c r="B32" s="260"/>
      <c r="D32" s="185"/>
      <c r="G32" s="185"/>
      <c r="H32" s="191" t="str">
        <f>Målinger!M29</f>
        <v/>
      </c>
      <c r="I32" s="191" t="str">
        <f>Målinger!O29</f>
        <v/>
      </c>
      <c r="J32" s="275"/>
    </row>
    <row r="33" spans="1:13" x14ac:dyDescent="0.2">
      <c r="A33" s="198"/>
      <c r="B33" s="197"/>
      <c r="D33" s="185"/>
      <c r="H33" s="189" t="str">
        <f>Målinger!M30</f>
        <v/>
      </c>
      <c r="I33" s="189" t="str">
        <f>Målinger!O30</f>
        <v/>
      </c>
      <c r="J33" s="275"/>
    </row>
    <row r="34" spans="1:13" ht="14.25" customHeight="1" x14ac:dyDescent="0.2">
      <c r="A34" s="198"/>
      <c r="B34" s="197"/>
      <c r="D34" s="185"/>
      <c r="H34" s="189" t="str">
        <f>Målinger!M31</f>
        <v/>
      </c>
      <c r="I34" s="189" t="str">
        <f>Målinger!O31</f>
        <v/>
      </c>
      <c r="J34" s="275"/>
      <c r="M34" s="59"/>
    </row>
    <row r="35" spans="1:13" x14ac:dyDescent="0.2">
      <c r="A35" s="198"/>
      <c r="B35" s="197"/>
      <c r="H35" s="302" t="s">
        <v>44</v>
      </c>
      <c r="I35" s="189" t="str">
        <f>Målinger!O32</f>
        <v/>
      </c>
      <c r="J35" s="275"/>
    </row>
    <row r="36" spans="1:13" ht="13.5" thickBot="1" x14ac:dyDescent="0.25">
      <c r="A36" s="198"/>
      <c r="B36" s="197"/>
      <c r="G36" s="184" t="s">
        <v>526</v>
      </c>
      <c r="H36" s="373" t="str">
        <f>Målinger!M35</f>
        <v/>
      </c>
      <c r="I36" s="372" t="str">
        <f>Målinger!O35</f>
        <v/>
      </c>
      <c r="J36" s="275"/>
    </row>
    <row r="37" spans="1:13" ht="13.5" thickBot="1" x14ac:dyDescent="0.25">
      <c r="A37" s="198"/>
      <c r="B37" s="197"/>
      <c r="H37" s="374" t="str">
        <f>Målinger!M36</f>
        <v/>
      </c>
      <c r="I37" s="394" t="str">
        <f>Målinger!O36</f>
        <v/>
      </c>
      <c r="J37" s="264" t="str">
        <f>IF((COUNTIF(H37:I37,""))&gt;0,"",IF(COUNTIF(H37:I37,"Fail")&gt;0,"Fail","Pass"))</f>
        <v/>
      </c>
    </row>
    <row r="38" spans="1:13" ht="13.5" thickBot="1" x14ac:dyDescent="0.25">
      <c r="A38" s="198"/>
      <c r="B38" s="425" t="s">
        <v>156</v>
      </c>
      <c r="C38" s="426"/>
      <c r="D38" s="540"/>
      <c r="E38" s="418"/>
      <c r="F38" s="417"/>
      <c r="G38" s="428"/>
      <c r="H38" s="428"/>
      <c r="I38" s="427"/>
      <c r="J38" s="399"/>
    </row>
    <row r="39" spans="1:13" x14ac:dyDescent="0.2">
      <c r="A39" s="198"/>
    </row>
    <row r="40" spans="1:13" ht="15.75" x14ac:dyDescent="0.25">
      <c r="A40" s="198"/>
      <c r="B40" s="257" t="str">
        <f>U1_Forside!A50</f>
        <v>3.3 HVL</v>
      </c>
      <c r="C40" s="53"/>
      <c r="D40" s="53"/>
      <c r="E40" s="53"/>
      <c r="F40" s="53"/>
      <c r="G40" s="53"/>
    </row>
    <row r="41" spans="1:13" x14ac:dyDescent="0.2">
      <c r="A41" s="198"/>
      <c r="B41" s="268" t="s">
        <v>189</v>
      </c>
      <c r="C41" s="53"/>
      <c r="D41" s="53"/>
      <c r="E41" s="53"/>
      <c r="F41" s="53"/>
      <c r="G41" s="53"/>
      <c r="H41" s="57" t="str">
        <f>Målinger!AD7</f>
        <v>FF</v>
      </c>
      <c r="I41" s="57" t="str">
        <f>Målinger!AD14</f>
        <v>GF</v>
      </c>
      <c r="J41" s="54"/>
    </row>
    <row r="42" spans="1:13" ht="13.5" thickBot="1" x14ac:dyDescent="0.25">
      <c r="A42" s="198"/>
      <c r="B42" s="53"/>
      <c r="C42" s="267"/>
      <c r="D42" s="53"/>
      <c r="E42" s="53"/>
      <c r="F42" s="53"/>
      <c r="G42" s="53"/>
      <c r="H42" s="379" t="str">
        <f>Målinger!AD11</f>
        <v/>
      </c>
      <c r="I42" s="379" t="str">
        <f>Målinger!AD18</f>
        <v/>
      </c>
      <c r="J42" s="54"/>
    </row>
    <row r="43" spans="1:13" ht="13.5" thickBot="1" x14ac:dyDescent="0.25">
      <c r="A43" s="198"/>
      <c r="B43" s="53"/>
      <c r="C43" s="267"/>
      <c r="D43" s="53"/>
      <c r="E43" s="53"/>
      <c r="F43" s="53"/>
      <c r="G43" s="53"/>
      <c r="H43" s="388" t="str">
        <f>Målinger!AD12</f>
        <v/>
      </c>
      <c r="I43" s="389" t="str">
        <f>Målinger!AD19</f>
        <v/>
      </c>
      <c r="J43" s="387" t="str">
        <f>IF((COUNTIF(H43:I43,""))&gt;0,"",IF(COUNTIF(H43:I43,"Fail")&gt;0,"Fail","Pass"))</f>
        <v/>
      </c>
    </row>
    <row r="44" spans="1:13" ht="13.5" thickBot="1" x14ac:dyDescent="0.25">
      <c r="A44" s="684"/>
      <c r="B44" s="425" t="s">
        <v>156</v>
      </c>
      <c r="C44" s="417"/>
      <c r="D44" s="424"/>
      <c r="E44" s="417"/>
      <c r="F44" s="417"/>
      <c r="G44" s="417"/>
      <c r="H44" s="417"/>
      <c r="I44" s="417"/>
      <c r="J44" s="429"/>
    </row>
    <row r="45" spans="1:13" x14ac:dyDescent="0.2">
      <c r="A45" s="198"/>
    </row>
    <row r="46" spans="1:13" ht="15.75" x14ac:dyDescent="0.25">
      <c r="A46" s="198"/>
      <c r="B46" s="257" t="str">
        <f>U1_Forside!A51</f>
        <v>3.4 Eksponeringstid</v>
      </c>
      <c r="C46" s="197"/>
      <c r="D46" s="251"/>
      <c r="E46" s="251"/>
      <c r="F46" s="251"/>
      <c r="G46" s="251"/>
      <c r="H46" s="251"/>
      <c r="I46" s="197"/>
      <c r="J46" s="197"/>
    </row>
    <row r="47" spans="1:13" x14ac:dyDescent="0.2">
      <c r="A47" s="198"/>
      <c r="B47" s="53" t="s">
        <v>527</v>
      </c>
      <c r="C47" s="53"/>
      <c r="D47" s="54"/>
      <c r="E47" s="54"/>
      <c r="F47" s="54"/>
      <c r="G47" s="54"/>
      <c r="H47" s="59"/>
      <c r="I47" s="53"/>
      <c r="J47" s="53"/>
      <c r="K47" s="59"/>
    </row>
    <row r="48" spans="1:13" x14ac:dyDescent="0.2">
      <c r="A48" s="198"/>
      <c r="B48" s="53" t="s">
        <v>444</v>
      </c>
      <c r="J48" s="54"/>
      <c r="K48" s="59"/>
    </row>
    <row r="49" spans="1:11" x14ac:dyDescent="0.2">
      <c r="A49" s="198"/>
      <c r="B49" s="53"/>
      <c r="C49" s="53"/>
      <c r="D49" s="54"/>
      <c r="E49" s="54"/>
      <c r="F49" s="58"/>
      <c r="G49" s="58"/>
      <c r="H49" s="57" t="str">
        <f>Målinger!W9</f>
        <v>FF</v>
      </c>
      <c r="I49" s="57" t="str">
        <f>Målinger!X9</f>
        <v>GF</v>
      </c>
      <c r="J49" s="54"/>
      <c r="K49" s="59"/>
    </row>
    <row r="50" spans="1:11" ht="13.5" thickBot="1" x14ac:dyDescent="0.25">
      <c r="A50" s="198"/>
      <c r="B50" s="53"/>
      <c r="C50" s="53"/>
      <c r="D50" s="54"/>
      <c r="E50" s="54"/>
      <c r="F50" s="58"/>
      <c r="G50" s="269" t="s">
        <v>192</v>
      </c>
      <c r="H50" s="330" t="str">
        <f>Målinger!W10</f>
        <v/>
      </c>
      <c r="I50" s="330" t="str">
        <f>Målinger!X10</f>
        <v/>
      </c>
      <c r="J50" s="54"/>
      <c r="K50" s="59"/>
    </row>
    <row r="51" spans="1:11" ht="13.5" thickBot="1" x14ac:dyDescent="0.25">
      <c r="A51" s="198"/>
      <c r="B51" s="53"/>
      <c r="C51" s="53"/>
      <c r="D51" s="54"/>
      <c r="E51" s="54"/>
      <c r="F51" s="58"/>
      <c r="G51" s="269" t="s">
        <v>193</v>
      </c>
      <c r="H51" s="374" t="str">
        <f>Målinger!W14</f>
        <v/>
      </c>
      <c r="I51" s="375" t="str">
        <f>Målinger!X14</f>
        <v/>
      </c>
      <c r="J51" s="263" t="str">
        <f>IF((COUNTIF(H50:I51,""))&gt;0,"",IF(COUNTIF(H50:I51,"Fail")&gt;0,"Fail","Pass"))</f>
        <v/>
      </c>
      <c r="K51" s="59"/>
    </row>
    <row r="52" spans="1:11" x14ac:dyDescent="0.2">
      <c r="A52" s="198"/>
      <c r="B52" s="53"/>
      <c r="C52" s="53"/>
      <c r="D52" s="54"/>
      <c r="E52" s="54"/>
      <c r="F52" s="58"/>
      <c r="G52" s="58"/>
      <c r="H52" s="57" t="str">
        <f>Målinger!U18</f>
        <v>FF</v>
      </c>
      <c r="I52" s="57" t="str">
        <f>Målinger!W18</f>
        <v>GF</v>
      </c>
      <c r="J52" s="54"/>
      <c r="K52" s="59"/>
    </row>
    <row r="53" spans="1:11" x14ac:dyDescent="0.2">
      <c r="A53" s="198"/>
      <c r="B53" s="53"/>
      <c r="C53" s="53"/>
      <c r="D53" s="54"/>
      <c r="E53" s="54"/>
      <c r="F53" s="58"/>
      <c r="G53" s="58"/>
      <c r="H53" s="302" t="str">
        <f>Målinger!U19</f>
        <v/>
      </c>
      <c r="I53" s="302" t="str">
        <f>Målinger!W19</f>
        <v/>
      </c>
      <c r="J53" s="54"/>
      <c r="K53" s="59"/>
    </row>
    <row r="54" spans="1:11" x14ac:dyDescent="0.2">
      <c r="A54" s="198"/>
      <c r="B54" s="53"/>
      <c r="C54" s="53"/>
      <c r="D54" s="54"/>
      <c r="E54" s="54"/>
      <c r="F54" s="58"/>
      <c r="G54" s="58"/>
      <c r="H54" s="302" t="str">
        <f>Målinger!U20</f>
        <v/>
      </c>
      <c r="I54" s="302" t="str">
        <f>Målinger!W20</f>
        <v/>
      </c>
      <c r="J54" s="54"/>
      <c r="K54" s="59"/>
    </row>
    <row r="55" spans="1:11" x14ac:dyDescent="0.2">
      <c r="A55" s="198"/>
      <c r="B55" s="53"/>
      <c r="C55" s="53"/>
      <c r="D55" s="54"/>
      <c r="E55" s="54"/>
      <c r="F55" s="58"/>
      <c r="G55" s="58"/>
      <c r="H55" s="302" t="str">
        <f>Målinger!U21</f>
        <v/>
      </c>
      <c r="I55" s="302" t="str">
        <f>Målinger!W21</f>
        <v/>
      </c>
      <c r="J55" s="54"/>
      <c r="K55" s="59"/>
    </row>
    <row r="56" spans="1:11" x14ac:dyDescent="0.2">
      <c r="A56" s="198"/>
      <c r="B56" s="53"/>
      <c r="C56" s="53"/>
      <c r="D56" s="54"/>
      <c r="E56" s="54"/>
      <c r="F56" s="58"/>
      <c r="G56" s="58"/>
      <c r="H56" s="302" t="str">
        <f>Målinger!U22</f>
        <v/>
      </c>
      <c r="I56" s="302" t="str">
        <f>Målinger!W22</f>
        <v/>
      </c>
      <c r="J56" s="54"/>
      <c r="K56" s="59"/>
    </row>
    <row r="57" spans="1:11" ht="13.5" thickBot="1" x14ac:dyDescent="0.25">
      <c r="A57" s="198"/>
      <c r="B57" s="53"/>
      <c r="C57" s="53"/>
      <c r="D57" s="54"/>
      <c r="E57" s="54"/>
      <c r="F57" s="58"/>
      <c r="G57" s="269" t="s">
        <v>194</v>
      </c>
      <c r="H57" s="380" t="str">
        <f>Målinger!V25</f>
        <v/>
      </c>
      <c r="I57" s="380" t="str">
        <f>Målinger!X25</f>
        <v/>
      </c>
      <c r="J57" s="54"/>
      <c r="K57" s="59"/>
    </row>
    <row r="58" spans="1:11" ht="13.5" thickBot="1" x14ac:dyDescent="0.25">
      <c r="A58" s="198"/>
      <c r="B58" s="53"/>
      <c r="C58" s="53"/>
      <c r="D58" s="54"/>
      <c r="E58" s="54"/>
      <c r="F58" s="58"/>
      <c r="G58" s="58"/>
      <c r="H58" s="388" t="str">
        <f>Målinger!V26</f>
        <v/>
      </c>
      <c r="I58" s="389" t="str">
        <f>Målinger!X26</f>
        <v/>
      </c>
      <c r="J58" s="264" t="str">
        <f>IF((COUNTIF(H57:I58,""))&gt;0,"",IF(COUNTIF(H57:I58,"Fail")&gt;0,"Fail","Pass"))</f>
        <v/>
      </c>
      <c r="K58" s="59"/>
    </row>
    <row r="59" spans="1:11" ht="13.5" thickBot="1" x14ac:dyDescent="0.25">
      <c r="A59" s="198"/>
      <c r="B59" s="425" t="s">
        <v>156</v>
      </c>
      <c r="C59" s="417"/>
      <c r="D59" s="424"/>
      <c r="E59" s="417"/>
      <c r="F59" s="417"/>
      <c r="G59" s="417"/>
      <c r="H59" s="418"/>
      <c r="I59" s="418"/>
      <c r="J59" s="429"/>
      <c r="K59" s="59"/>
    </row>
    <row r="60" spans="1:11" x14ac:dyDescent="0.2">
      <c r="A60" s="198"/>
      <c r="B60" s="197"/>
      <c r="C60" s="197"/>
      <c r="D60" s="197"/>
      <c r="E60" s="197"/>
      <c r="F60" s="197"/>
      <c r="G60" s="197"/>
      <c r="H60" s="197"/>
      <c r="I60" s="197"/>
      <c r="J60" s="197"/>
    </row>
    <row r="61" spans="1:11" x14ac:dyDescent="0.2">
      <c r="A61" s="198"/>
      <c r="B61" s="198"/>
      <c r="C61" s="198"/>
      <c r="D61" s="198"/>
      <c r="E61" s="198"/>
      <c r="F61" s="198"/>
      <c r="G61" s="198"/>
      <c r="H61" s="198"/>
      <c r="I61" s="198"/>
      <c r="J61" s="198"/>
    </row>
    <row r="62" spans="1:11" x14ac:dyDescent="0.2">
      <c r="A62" s="198"/>
      <c r="B62" s="198"/>
      <c r="C62" s="198"/>
      <c r="D62" s="198"/>
      <c r="E62" s="198"/>
      <c r="F62" s="198"/>
      <c r="G62" s="198"/>
      <c r="H62" s="198"/>
      <c r="I62" s="198"/>
      <c r="J62" s="198"/>
    </row>
    <row r="63" spans="1:11" x14ac:dyDescent="0.2">
      <c r="A63" s="198"/>
      <c r="B63" s="198"/>
      <c r="C63" s="198"/>
      <c r="D63" s="198"/>
      <c r="E63" s="198"/>
      <c r="F63" s="198"/>
      <c r="G63" s="198"/>
      <c r="H63" s="198"/>
      <c r="I63" s="198"/>
      <c r="J63" s="198"/>
    </row>
    <row r="64" spans="1:11" x14ac:dyDescent="0.2">
      <c r="A64" s="198"/>
      <c r="B64" s="198"/>
      <c r="C64" s="198"/>
      <c r="D64" s="198"/>
      <c r="E64" s="198"/>
      <c r="F64" s="198"/>
      <c r="G64" s="198"/>
      <c r="H64" s="198"/>
      <c r="I64" s="198"/>
      <c r="J64" s="198"/>
    </row>
    <row r="65" spans="1:10" x14ac:dyDescent="0.2">
      <c r="A65" s="198"/>
      <c r="B65" s="198"/>
      <c r="C65" s="198"/>
      <c r="D65" s="198"/>
      <c r="E65" s="198"/>
      <c r="F65" s="198"/>
      <c r="G65" s="198"/>
      <c r="H65" s="198"/>
      <c r="I65" s="198"/>
      <c r="J65" s="198"/>
    </row>
    <row r="66" spans="1:10" x14ac:dyDescent="0.2">
      <c r="A66" s="198"/>
      <c r="B66" s="198"/>
      <c r="C66" s="198"/>
      <c r="D66" s="198"/>
      <c r="E66" s="198"/>
      <c r="F66" s="198"/>
      <c r="G66" s="198"/>
      <c r="H66" s="198"/>
      <c r="I66" s="198"/>
      <c r="J66" s="198"/>
    </row>
    <row r="67" spans="1:10" x14ac:dyDescent="0.2">
      <c r="A67" s="198"/>
      <c r="B67" s="198"/>
      <c r="C67" s="198"/>
      <c r="D67" s="198"/>
      <c r="E67" s="198"/>
      <c r="F67" s="198"/>
      <c r="G67" s="198"/>
      <c r="H67" s="198"/>
      <c r="I67" s="198"/>
      <c r="J67" s="198"/>
    </row>
    <row r="68" spans="1:10" x14ac:dyDescent="0.2">
      <c r="A68" s="198"/>
      <c r="B68" s="198"/>
      <c r="C68" s="198"/>
      <c r="D68" s="198"/>
      <c r="E68" s="198"/>
      <c r="F68" s="198"/>
      <c r="G68" s="198"/>
      <c r="H68" s="198"/>
      <c r="I68" s="198"/>
      <c r="J68" s="198"/>
    </row>
    <row r="69" spans="1:10" x14ac:dyDescent="0.2">
      <c r="A69" s="198"/>
      <c r="B69" s="198"/>
      <c r="C69" s="198"/>
      <c r="D69" s="198"/>
      <c r="E69" s="198"/>
      <c r="F69" s="198"/>
      <c r="G69" s="198"/>
      <c r="H69" s="198"/>
      <c r="I69" s="198"/>
      <c r="J69" s="198"/>
    </row>
    <row r="70" spans="1:10" x14ac:dyDescent="0.2">
      <c r="A70" s="198"/>
      <c r="B70" s="198"/>
      <c r="C70" s="198"/>
      <c r="D70" s="198"/>
      <c r="E70" s="198"/>
      <c r="F70" s="198"/>
      <c r="G70" s="198"/>
      <c r="H70" s="198"/>
      <c r="I70" s="198"/>
      <c r="J70" s="198"/>
    </row>
    <row r="71" spans="1:10" x14ac:dyDescent="0.2">
      <c r="A71" s="198"/>
      <c r="B71" s="198"/>
      <c r="C71" s="198"/>
      <c r="D71" s="198"/>
      <c r="E71" s="198"/>
      <c r="F71" s="198"/>
      <c r="G71" s="198"/>
      <c r="H71" s="198"/>
      <c r="I71" s="198"/>
      <c r="J71" s="198"/>
    </row>
    <row r="72" spans="1:10" x14ac:dyDescent="0.2">
      <c r="A72" s="198"/>
      <c r="B72" s="198"/>
      <c r="C72" s="198"/>
      <c r="D72" s="198"/>
      <c r="E72" s="198"/>
      <c r="F72" s="198"/>
      <c r="G72" s="198"/>
      <c r="H72" s="198"/>
      <c r="I72" s="198"/>
      <c r="J72" s="198"/>
    </row>
    <row r="73" spans="1:10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</row>
    <row r="74" spans="1:10" x14ac:dyDescent="0.2">
      <c r="A74" s="198"/>
      <c r="B74" s="198"/>
      <c r="C74" s="198"/>
      <c r="D74" s="198"/>
      <c r="E74" s="198"/>
      <c r="F74" s="198"/>
      <c r="G74" s="198"/>
      <c r="H74" s="198"/>
      <c r="I74" s="198"/>
      <c r="J74" s="198"/>
    </row>
    <row r="75" spans="1:10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</row>
    <row r="76" spans="1:10" x14ac:dyDescent="0.2">
      <c r="A76" s="198"/>
      <c r="B76" s="187"/>
    </row>
    <row r="77" spans="1:10" x14ac:dyDescent="0.2">
      <c r="A77" s="198"/>
      <c r="C77" s="187"/>
    </row>
    <row r="78" spans="1:10" x14ac:dyDescent="0.2">
      <c r="A78" s="198"/>
    </row>
    <row r="79" spans="1:10" x14ac:dyDescent="0.2">
      <c r="A79" s="198"/>
    </row>
    <row r="80" spans="1:10" x14ac:dyDescent="0.2">
      <c r="A80" s="198"/>
    </row>
    <row r="81" spans="1:1" x14ac:dyDescent="0.2">
      <c r="A81" s="198"/>
    </row>
  </sheetData>
  <conditionalFormatting sqref="J48:J50 E15 J52:J57">
    <cfRule type="containsText" dxfId="143" priority="51" operator="containsText" text="Fail">
      <formula>NOT(ISERROR(SEARCH("Fail",E15)))</formula>
    </cfRule>
    <cfRule type="containsText" dxfId="142" priority="52" operator="containsText" text="Pass">
      <formula>NOT(ISERROR(SEARCH("Pass",E15)))</formula>
    </cfRule>
  </conditionalFormatting>
  <conditionalFormatting sqref="J41:J42">
    <cfRule type="containsText" dxfId="141" priority="49" operator="containsText" text="Fail">
      <formula>NOT(ISERROR(SEARCH("Fail",J41)))</formula>
    </cfRule>
    <cfRule type="containsText" dxfId="140" priority="50" operator="containsText" text="Pass">
      <formula>NOT(ISERROR(SEARCH("Pass",J41)))</formula>
    </cfRule>
  </conditionalFormatting>
  <conditionalFormatting sqref="J14">
    <cfRule type="containsText" dxfId="139" priority="37" operator="containsText" text="Fail">
      <formula>NOT(ISERROR(SEARCH("Fail",J14)))</formula>
    </cfRule>
    <cfRule type="containsText" dxfId="138" priority="38" operator="containsText" text="Pass">
      <formula>NOT(ISERROR(SEARCH("Pass",J14)))</formula>
    </cfRule>
  </conditionalFormatting>
  <conditionalFormatting sqref="J25:J37">
    <cfRule type="containsText" dxfId="137" priority="25" operator="containsText" text="Fail">
      <formula>NOT(ISERROR(SEARCH("Fail",J25)))</formula>
    </cfRule>
    <cfRule type="containsText" dxfId="136" priority="26" operator="containsText" text="Pass">
      <formula>NOT(ISERROR(SEARCH("Pass",J25)))</formula>
    </cfRule>
  </conditionalFormatting>
  <conditionalFormatting sqref="J43">
    <cfRule type="containsText" dxfId="135" priority="13" operator="containsText" text="Fail">
      <formula>NOT(ISERROR(SEARCH("Fail",J43)))</formula>
    </cfRule>
    <cfRule type="containsText" dxfId="134" priority="14" operator="containsText" text="Pass">
      <formula>NOT(ISERROR(SEARCH("Pass",J43)))</formula>
    </cfRule>
  </conditionalFormatting>
  <conditionalFormatting sqref="J51">
    <cfRule type="containsText" dxfId="133" priority="9" operator="containsText" text="Fail">
      <formula>NOT(ISERROR(SEARCH("Fail",J51)))</formula>
    </cfRule>
    <cfRule type="containsText" dxfId="132" priority="10" operator="containsText" text="Pass">
      <formula>NOT(ISERROR(SEARCH("Pass",J51)))</formula>
    </cfRule>
  </conditionalFormatting>
  <conditionalFormatting sqref="J58">
    <cfRule type="containsText" dxfId="131" priority="3" operator="containsText" text="Fail">
      <formula>NOT(ISERROR(SEARCH("Fail",J58)))</formula>
    </cfRule>
    <cfRule type="containsText" dxfId="130" priority="4" operator="containsText" text="Pass">
      <formula>NOT(ISERROR(SEARCH("Pass",J58)))</formula>
    </cfRule>
  </conditionalFormatting>
  <conditionalFormatting sqref="E38">
    <cfRule type="containsText" dxfId="129" priority="1" operator="containsText" text="Fail">
      <formula>NOT(ISERROR(SEARCH("Fail",E38)))</formula>
    </cfRule>
    <cfRule type="containsText" dxfId="128" priority="2" operator="containsText" text="Pass">
      <formula>NOT(ISERROR(SEARCH("Pass",E38)))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84"/>
  <sheetViews>
    <sheetView showGridLines="0" tabSelected="1" showRuler="0" view="pageLayout" zoomScale="115" zoomScaleNormal="75" zoomScaleSheetLayoutView="85" zoomScalePageLayoutView="115" workbookViewId="0">
      <selection activeCell="G3" sqref="G3"/>
    </sheetView>
  </sheetViews>
  <sheetFormatPr baseColWidth="10" defaultRowHeight="12.75" x14ac:dyDescent="0.2"/>
  <cols>
    <col min="1" max="1" width="2.5703125" customWidth="1"/>
    <col min="2" max="18" width="9.140625" customWidth="1"/>
  </cols>
  <sheetData>
    <row r="1" spans="2:11" x14ac:dyDescent="0.2">
      <c r="B1" s="182"/>
    </row>
    <row r="3" spans="2:11" x14ac:dyDescent="0.2">
      <c r="B3" s="182"/>
      <c r="C3" s="182"/>
    </row>
    <row r="4" spans="2:11" x14ac:dyDescent="0.2">
      <c r="C4" s="59"/>
    </row>
    <row r="5" spans="2:11" ht="15.75" x14ac:dyDescent="0.25">
      <c r="B5" s="183" t="str">
        <f>U1_Forside!E46</f>
        <v>3.5 Stråleutbytte</v>
      </c>
      <c r="C5" s="59"/>
      <c r="D5" s="59"/>
      <c r="E5" s="59"/>
      <c r="F5" s="59"/>
      <c r="K5" s="183"/>
    </row>
    <row r="6" spans="2:11" x14ac:dyDescent="0.2">
      <c r="B6" s="59" t="s">
        <v>204</v>
      </c>
    </row>
    <row r="7" spans="2:11" x14ac:dyDescent="0.2">
      <c r="B7" s="59" t="s">
        <v>195</v>
      </c>
    </row>
    <row r="8" spans="2:11" x14ac:dyDescent="0.2">
      <c r="B8" s="59"/>
    </row>
    <row r="9" spans="2:11" x14ac:dyDescent="0.2">
      <c r="B9" s="59"/>
      <c r="H9" s="301" t="str">
        <f>Målinger!AI8</f>
        <v>FF</v>
      </c>
      <c r="I9" s="301" t="str">
        <f>Målinger!AJ8</f>
        <v>GF</v>
      </c>
    </row>
    <row r="10" spans="2:11" x14ac:dyDescent="0.2">
      <c r="B10" s="59"/>
      <c r="H10" s="302" t="str">
        <f>Målinger!AI9</f>
        <v/>
      </c>
      <c r="I10" s="302" t="str">
        <f>Målinger!AJ9</f>
        <v/>
      </c>
    </row>
    <row r="11" spans="2:11" x14ac:dyDescent="0.2">
      <c r="B11" s="59"/>
      <c r="H11" s="302" t="str">
        <f>Målinger!AI10</f>
        <v/>
      </c>
      <c r="I11" s="302" t="str">
        <f>Målinger!AJ10</f>
        <v/>
      </c>
    </row>
    <row r="12" spans="2:11" x14ac:dyDescent="0.2">
      <c r="B12" s="59"/>
      <c r="H12" s="302" t="str">
        <f>Målinger!AI11</f>
        <v/>
      </c>
      <c r="I12" s="302" t="str">
        <f>Målinger!AJ11</f>
        <v/>
      </c>
    </row>
    <row r="13" spans="2:11" x14ac:dyDescent="0.2">
      <c r="H13" s="302" t="str">
        <f>Målinger!AI12</f>
        <v/>
      </c>
      <c r="I13" s="302" t="str">
        <f>Målinger!AJ12</f>
        <v/>
      </c>
    </row>
    <row r="14" spans="2:11" x14ac:dyDescent="0.2">
      <c r="G14" s="184" t="s">
        <v>528</v>
      </c>
      <c r="H14" s="301" t="str">
        <f>Målinger!AI13</f>
        <v/>
      </c>
      <c r="I14" s="301" t="str">
        <f>Målinger!AJ13</f>
        <v/>
      </c>
    </row>
    <row r="15" spans="2:11" ht="13.5" thickBot="1" x14ac:dyDescent="0.25">
      <c r="G15" s="184" t="s">
        <v>201</v>
      </c>
      <c r="H15" s="380" t="str">
        <f>Målinger!AI15</f>
        <v/>
      </c>
      <c r="I15" s="380" t="str">
        <f>Målinger!AJ15</f>
        <v/>
      </c>
    </row>
    <row r="16" spans="2:11" ht="13.5" thickBot="1" x14ac:dyDescent="0.25">
      <c r="G16" s="184"/>
      <c r="H16" s="391" t="str">
        <f>IF(Målinger!AI16="","",Målinger!AI16)</f>
        <v/>
      </c>
      <c r="I16" s="391" t="str">
        <f>IF(Målinger!AJ16="","",Målinger!AJ16)</f>
        <v/>
      </c>
      <c r="J16" s="264" t="str">
        <f>IF((COUNTIF(H16:I16,""))&gt;0,"",IF(COUNTIF(H16:I16,"Fail")&gt;0,"Fail","Pass"))</f>
        <v/>
      </c>
    </row>
    <row r="17" spans="1:10" x14ac:dyDescent="0.2">
      <c r="H17" s="390" t="str">
        <f>Målinger!AI19</f>
        <v/>
      </c>
      <c r="I17" s="390" t="str">
        <f>Målinger!AJ19</f>
        <v/>
      </c>
    </row>
    <row r="18" spans="1:10" x14ac:dyDescent="0.2">
      <c r="H18" s="302" t="str">
        <f>Målinger!AI20</f>
        <v/>
      </c>
      <c r="I18" s="302" t="str">
        <f>Målinger!AJ20</f>
        <v/>
      </c>
      <c r="J18" s="197"/>
    </row>
    <row r="19" spans="1:10" x14ac:dyDescent="0.2">
      <c r="H19" s="302" t="str">
        <f>Målinger!AI21</f>
        <v/>
      </c>
      <c r="I19" s="302" t="str">
        <f>Målinger!AJ21</f>
        <v/>
      </c>
      <c r="J19" s="197"/>
    </row>
    <row r="20" spans="1:10" x14ac:dyDescent="0.2">
      <c r="H20" s="302" t="str">
        <f>Målinger!AI22</f>
        <v/>
      </c>
      <c r="I20" s="302" t="str">
        <f>Målinger!AJ22</f>
        <v/>
      </c>
      <c r="J20" s="197"/>
    </row>
    <row r="21" spans="1:10" ht="13.5" thickBot="1" x14ac:dyDescent="0.25">
      <c r="G21" s="184" t="s">
        <v>202</v>
      </c>
      <c r="H21" s="380" t="str">
        <f>Målinger!AI25</f>
        <v/>
      </c>
      <c r="I21" s="380" t="str">
        <f>Målinger!AJ25</f>
        <v/>
      </c>
      <c r="J21" s="197"/>
    </row>
    <row r="22" spans="1:10" ht="13.5" thickBot="1" x14ac:dyDescent="0.25">
      <c r="G22" s="184"/>
      <c r="H22" s="391" t="str">
        <f>IF(Målinger!AI26="","",Målinger!AI26)</f>
        <v/>
      </c>
      <c r="I22" s="391" t="str">
        <f>IF(Målinger!AJ26="","",Målinger!AJ26)</f>
        <v/>
      </c>
      <c r="J22" s="264" t="str">
        <f>IF((COUNTIF(H22:I22,""))&gt;0,"",IF(COUNTIF(H22:I22,"Fail")&gt;0,"Fail","Pass"))</f>
        <v/>
      </c>
    </row>
    <row r="23" spans="1:10" x14ac:dyDescent="0.2">
      <c r="H23" s="191" t="str">
        <f>Målinger!AI29</f>
        <v/>
      </c>
      <c r="I23" s="191" t="str">
        <f>Målinger!AJ29</f>
        <v/>
      </c>
      <c r="J23" s="197"/>
    </row>
    <row r="24" spans="1:10" x14ac:dyDescent="0.2">
      <c r="B24" s="278"/>
      <c r="C24" s="279"/>
      <c r="D24" s="198"/>
      <c r="E24" s="198"/>
      <c r="F24" s="198"/>
      <c r="G24" s="279"/>
      <c r="H24" s="189" t="str">
        <f>Målinger!AI30</f>
        <v/>
      </c>
      <c r="I24" s="189" t="str">
        <f>Målinger!AJ30</f>
        <v/>
      </c>
      <c r="J24" s="197"/>
    </row>
    <row r="25" spans="1:10" x14ac:dyDescent="0.2">
      <c r="B25" s="278"/>
      <c r="C25" s="279"/>
      <c r="D25" s="198"/>
      <c r="E25" s="198"/>
      <c r="F25" s="198"/>
      <c r="G25" s="279"/>
      <c r="H25" s="189" t="str">
        <f>Målinger!AI31</f>
        <v/>
      </c>
      <c r="I25" s="189" t="str">
        <f>Målinger!AJ31</f>
        <v/>
      </c>
      <c r="J25" s="197"/>
    </row>
    <row r="26" spans="1:10" ht="15.75" x14ac:dyDescent="0.25">
      <c r="B26" s="280"/>
      <c r="C26" s="249"/>
      <c r="D26" s="197"/>
      <c r="E26" s="197"/>
      <c r="F26" s="197"/>
      <c r="G26" s="249"/>
      <c r="H26" s="189" t="str">
        <f>Målinger!AI32</f>
        <v/>
      </c>
      <c r="I26" s="189" t="str">
        <f>Målinger!AJ32</f>
        <v/>
      </c>
      <c r="J26" s="251"/>
    </row>
    <row r="27" spans="1:10" x14ac:dyDescent="0.2">
      <c r="A27" s="198"/>
      <c r="B27" s="197"/>
      <c r="C27" s="249"/>
      <c r="D27" s="197"/>
      <c r="E27" s="197"/>
      <c r="F27" s="197"/>
      <c r="G27" s="249"/>
      <c r="H27" s="189" t="str">
        <f>Målinger!AI33</f>
        <v/>
      </c>
      <c r="I27" s="189" t="str">
        <f>Målinger!AJ33</f>
        <v/>
      </c>
      <c r="J27" s="251"/>
    </row>
    <row r="28" spans="1:10" ht="13.5" thickBot="1" x14ac:dyDescent="0.25">
      <c r="A28" s="198"/>
      <c r="B28" s="53"/>
      <c r="C28" s="274"/>
      <c r="D28" s="273"/>
      <c r="E28" s="274"/>
      <c r="F28" s="53"/>
      <c r="G28" s="184" t="s">
        <v>203</v>
      </c>
      <c r="H28" s="372" t="str">
        <f>Målinger!AI36</f>
        <v/>
      </c>
      <c r="I28" s="372" t="str">
        <f>Målinger!AJ36</f>
        <v/>
      </c>
      <c r="J28" s="251"/>
    </row>
    <row r="29" spans="1:10" ht="13.5" thickBot="1" x14ac:dyDescent="0.25">
      <c r="A29" s="198"/>
      <c r="B29" s="53"/>
      <c r="C29" s="274"/>
      <c r="D29" s="273"/>
      <c r="E29" s="274"/>
      <c r="F29" s="274"/>
      <c r="G29" s="184"/>
      <c r="H29" s="391" t="str">
        <f>IF(Målinger!AI37="","",Målinger!AI37)</f>
        <v/>
      </c>
      <c r="I29" s="391" t="str">
        <f>IF(Målinger!AJ37="","",Målinger!AJ37)</f>
        <v/>
      </c>
      <c r="J29" s="264" t="str">
        <f>IF((COUNTIF(H29:I29,""))&gt;0,"",IF(COUNTIF(H29:I29,"Fail")&gt;0,"Fail","Pass"))</f>
        <v/>
      </c>
    </row>
    <row r="30" spans="1:10" x14ac:dyDescent="0.2">
      <c r="A30" s="198"/>
      <c r="B30" s="53" t="s">
        <v>205</v>
      </c>
      <c r="C30" s="274"/>
      <c r="D30" s="273"/>
      <c r="E30" s="274"/>
      <c r="F30" s="274"/>
      <c r="G30" s="274"/>
    </row>
    <row r="31" spans="1:10" ht="13.5" customHeight="1" x14ac:dyDescent="0.2">
      <c r="A31" s="198"/>
      <c r="C31" s="274"/>
      <c r="D31" s="274"/>
      <c r="E31" s="274"/>
      <c r="F31" s="274"/>
      <c r="G31" s="274"/>
      <c r="H31" s="276"/>
      <c r="I31" s="276"/>
      <c r="J31" s="274"/>
    </row>
    <row r="32" spans="1:10" x14ac:dyDescent="0.2">
      <c r="A32" s="198"/>
      <c r="B32" s="53"/>
      <c r="C32" s="274"/>
      <c r="D32" s="274"/>
      <c r="E32" s="274"/>
      <c r="F32" s="274"/>
      <c r="G32" s="266"/>
      <c r="H32" s="277"/>
      <c r="I32" s="277"/>
      <c r="J32" s="274"/>
    </row>
    <row r="33" spans="1:13" x14ac:dyDescent="0.2">
      <c r="A33" s="198"/>
      <c r="B33" s="197"/>
      <c r="C33" s="274"/>
      <c r="D33" s="274"/>
      <c r="E33" s="274"/>
      <c r="F33" s="274"/>
      <c r="G33" s="274"/>
      <c r="H33" s="54"/>
      <c r="I33" s="54"/>
      <c r="J33" s="275"/>
    </row>
    <row r="34" spans="1:13" ht="14.25" customHeight="1" x14ac:dyDescent="0.2">
      <c r="A34" s="198"/>
      <c r="B34" s="197"/>
      <c r="C34" s="274"/>
      <c r="D34" s="273"/>
      <c r="E34" s="274"/>
      <c r="F34" s="274"/>
      <c r="G34" s="273"/>
      <c r="H34" s="276"/>
      <c r="I34" s="276"/>
      <c r="J34" s="274"/>
      <c r="M34" s="59"/>
    </row>
    <row r="35" spans="1:13" x14ac:dyDescent="0.2">
      <c r="A35" s="198"/>
      <c r="B35" s="197"/>
      <c r="C35" s="274"/>
      <c r="D35" s="273"/>
      <c r="E35" s="274"/>
      <c r="F35" s="274"/>
      <c r="G35" s="274"/>
      <c r="H35" s="276"/>
      <c r="I35" s="276"/>
      <c r="J35" s="197"/>
    </row>
    <row r="36" spans="1:13" x14ac:dyDescent="0.2">
      <c r="A36" s="198"/>
      <c r="B36" s="197"/>
      <c r="C36" s="274"/>
      <c r="D36" s="273"/>
      <c r="E36" s="274"/>
      <c r="F36" s="274"/>
      <c r="G36" s="274"/>
      <c r="H36" s="276"/>
      <c r="I36" s="276"/>
      <c r="J36" s="197"/>
    </row>
    <row r="37" spans="1:13" x14ac:dyDescent="0.2">
      <c r="A37" s="198"/>
      <c r="B37" s="268"/>
      <c r="C37" s="53"/>
      <c r="D37" s="53"/>
      <c r="E37" s="53"/>
      <c r="F37" s="53"/>
      <c r="G37" s="53"/>
      <c r="H37" s="275"/>
      <c r="I37" s="275"/>
      <c r="J37" s="54"/>
    </row>
    <row r="38" spans="1:13" x14ac:dyDescent="0.2">
      <c r="A38" s="198"/>
      <c r="B38" s="53"/>
      <c r="C38" s="267"/>
      <c r="D38" s="53"/>
      <c r="E38" s="53"/>
      <c r="F38" s="53"/>
      <c r="G38" s="53"/>
      <c r="H38" s="58"/>
      <c r="I38" s="58"/>
      <c r="J38" s="54"/>
    </row>
    <row r="39" spans="1:13" x14ac:dyDescent="0.2">
      <c r="A39" s="198"/>
      <c r="B39" s="53"/>
      <c r="C39" s="267"/>
      <c r="D39" s="53"/>
      <c r="E39" s="53"/>
      <c r="F39" s="53"/>
      <c r="G39" s="53"/>
      <c r="H39" s="54"/>
      <c r="I39" s="54"/>
      <c r="J39" s="275"/>
    </row>
    <row r="40" spans="1:13" x14ac:dyDescent="0.2">
      <c r="A40" s="198"/>
      <c r="B40" s="53"/>
      <c r="C40" s="53"/>
      <c r="D40" s="53"/>
      <c r="E40" s="53"/>
      <c r="F40" s="53"/>
      <c r="G40" s="53"/>
      <c r="H40" s="53"/>
      <c r="I40" s="53"/>
      <c r="J40" s="53"/>
    </row>
    <row r="41" spans="1:13" ht="15.75" x14ac:dyDescent="0.25">
      <c r="A41" s="198"/>
      <c r="B41" s="196"/>
      <c r="C41" s="197"/>
      <c r="D41" s="251"/>
      <c r="E41" s="251"/>
      <c r="F41" s="251"/>
      <c r="G41" s="251"/>
      <c r="H41" s="251"/>
      <c r="I41" s="197"/>
      <c r="J41" s="197"/>
    </row>
    <row r="42" spans="1:13" x14ac:dyDescent="0.2">
      <c r="A42" s="198"/>
      <c r="B42" s="53"/>
      <c r="C42" s="53"/>
      <c r="D42" s="54"/>
      <c r="E42" s="54"/>
      <c r="F42" s="54"/>
      <c r="G42" s="54"/>
      <c r="H42" s="53"/>
      <c r="I42" s="53"/>
      <c r="J42" s="53"/>
    </row>
    <row r="43" spans="1:13" x14ac:dyDescent="0.2">
      <c r="A43" s="198"/>
      <c r="B43" s="53"/>
      <c r="C43" s="274"/>
      <c r="D43" s="274"/>
      <c r="E43" s="274"/>
      <c r="F43" s="274"/>
      <c r="G43" s="274"/>
      <c r="H43" s="274"/>
      <c r="I43" s="274"/>
      <c r="J43" s="54"/>
    </row>
    <row r="44" spans="1:13" x14ac:dyDescent="0.2">
      <c r="A44" s="198"/>
      <c r="B44" s="53" t="s">
        <v>206</v>
      </c>
      <c r="C44" s="53"/>
      <c r="D44" s="54"/>
      <c r="E44" s="54"/>
      <c r="F44" s="58"/>
      <c r="G44" s="58"/>
      <c r="H44" s="275"/>
      <c r="I44" s="275"/>
      <c r="J44" s="54"/>
    </row>
    <row r="45" spans="1:13" x14ac:dyDescent="0.2">
      <c r="A45" s="198"/>
      <c r="B45" s="53"/>
      <c r="C45" s="53"/>
      <c r="D45" s="54"/>
      <c r="E45" s="54"/>
      <c r="F45" s="58"/>
      <c r="G45" s="269"/>
      <c r="H45" s="54"/>
      <c r="I45" s="54"/>
      <c r="J45" s="54"/>
    </row>
    <row r="46" spans="1:13" x14ac:dyDescent="0.2">
      <c r="A46" s="198"/>
      <c r="B46" s="53"/>
      <c r="C46" s="53"/>
      <c r="D46" s="54"/>
      <c r="E46" s="54"/>
      <c r="F46" s="58"/>
      <c r="G46" s="269"/>
      <c r="H46" s="54"/>
      <c r="I46" s="54"/>
      <c r="J46" s="275"/>
    </row>
    <row r="47" spans="1:13" x14ac:dyDescent="0.2">
      <c r="A47" s="198"/>
      <c r="B47" s="53"/>
      <c r="C47" s="53"/>
      <c r="D47" s="54"/>
      <c r="E47" s="54"/>
      <c r="F47" s="58"/>
      <c r="G47" s="58"/>
      <c r="H47" s="54"/>
      <c r="I47" s="54"/>
      <c r="J47" s="54"/>
      <c r="K47" s="59"/>
    </row>
    <row r="48" spans="1:13" x14ac:dyDescent="0.2">
      <c r="A48" s="198"/>
      <c r="B48" s="268"/>
      <c r="C48" s="53"/>
      <c r="D48" s="53"/>
      <c r="E48" s="53"/>
      <c r="F48" s="53"/>
      <c r="G48" s="53"/>
      <c r="H48" s="275"/>
      <c r="I48" s="275"/>
      <c r="J48" s="54"/>
      <c r="K48" s="59"/>
    </row>
    <row r="49" spans="1:11" x14ac:dyDescent="0.2">
      <c r="A49" s="198"/>
      <c r="B49" s="53"/>
      <c r="C49" s="267"/>
      <c r="D49" s="53"/>
      <c r="E49" s="53"/>
      <c r="F49" s="53"/>
      <c r="G49" s="53"/>
      <c r="H49" s="58"/>
      <c r="I49" s="58"/>
      <c r="J49" s="54"/>
      <c r="K49" s="59"/>
    </row>
    <row r="50" spans="1:11" x14ac:dyDescent="0.2">
      <c r="A50" s="198"/>
      <c r="B50" s="53"/>
      <c r="C50" s="267"/>
      <c r="D50" s="53"/>
      <c r="E50" s="53"/>
      <c r="F50" s="53"/>
      <c r="G50" s="53"/>
      <c r="H50" s="54"/>
      <c r="I50" s="54"/>
      <c r="J50" s="275"/>
      <c r="K50" s="59"/>
    </row>
    <row r="51" spans="1:11" x14ac:dyDescent="0.2">
      <c r="A51" s="198"/>
      <c r="B51" s="53"/>
      <c r="C51" s="53"/>
      <c r="D51" s="53"/>
      <c r="E51" s="53"/>
      <c r="F51" s="53"/>
      <c r="G51" s="53"/>
      <c r="H51" s="53"/>
      <c r="I51" s="53"/>
      <c r="J51" s="53"/>
      <c r="K51" s="59"/>
    </row>
    <row r="52" spans="1:11" ht="15.75" x14ac:dyDescent="0.25">
      <c r="A52" s="198"/>
      <c r="B52" s="196"/>
      <c r="C52" s="197"/>
      <c r="D52" s="251"/>
      <c r="E52" s="251"/>
      <c r="F52" s="251"/>
      <c r="G52" s="251"/>
      <c r="H52" s="251"/>
      <c r="I52" s="197"/>
      <c r="J52" s="197"/>
      <c r="K52" s="59"/>
    </row>
    <row r="53" spans="1:11" x14ac:dyDescent="0.2">
      <c r="A53" s="198"/>
      <c r="B53" s="53"/>
      <c r="C53" s="53"/>
      <c r="D53" s="54"/>
      <c r="E53" s="54"/>
      <c r="F53" s="54"/>
      <c r="G53" s="54"/>
      <c r="H53" s="53"/>
      <c r="I53" s="53"/>
      <c r="J53" s="53"/>
      <c r="K53" s="59"/>
    </row>
    <row r="54" spans="1:11" x14ac:dyDescent="0.2">
      <c r="A54" s="198"/>
      <c r="B54" s="53"/>
      <c r="C54" s="274"/>
      <c r="D54" s="274"/>
      <c r="E54" s="274"/>
      <c r="F54" s="274"/>
      <c r="G54" s="274"/>
      <c r="H54" s="274"/>
      <c r="I54" s="274"/>
      <c r="J54" s="54"/>
      <c r="K54" s="59"/>
    </row>
    <row r="55" spans="1:11" x14ac:dyDescent="0.2">
      <c r="A55" s="198"/>
      <c r="B55" s="53"/>
      <c r="C55" s="53"/>
      <c r="D55" s="54"/>
      <c r="E55" s="54"/>
      <c r="F55" s="58"/>
      <c r="G55" s="58"/>
      <c r="H55" s="275"/>
      <c r="I55" s="275"/>
      <c r="J55" s="54"/>
      <c r="K55" s="59"/>
    </row>
    <row r="56" spans="1:11" x14ac:dyDescent="0.2">
      <c r="A56" s="198"/>
      <c r="B56" s="53"/>
      <c r="C56" s="53"/>
      <c r="D56" s="54"/>
      <c r="E56" s="54"/>
      <c r="F56" s="58"/>
      <c r="G56" s="269"/>
      <c r="H56" s="54"/>
      <c r="I56" s="54"/>
      <c r="J56" s="54"/>
      <c r="K56" s="59"/>
    </row>
    <row r="57" spans="1:11" ht="13.5" thickBot="1" x14ac:dyDescent="0.25">
      <c r="A57" s="198"/>
      <c r="B57" s="53"/>
      <c r="C57" s="53"/>
      <c r="D57" s="54"/>
      <c r="E57" s="54"/>
      <c r="F57" s="58"/>
      <c r="G57" s="269"/>
      <c r="H57" s="54"/>
      <c r="I57" s="54"/>
      <c r="J57" s="275"/>
      <c r="K57" s="59"/>
    </row>
    <row r="58" spans="1:11" ht="13.5" thickBot="1" x14ac:dyDescent="0.25">
      <c r="A58" s="198"/>
      <c r="B58" s="425" t="s">
        <v>156</v>
      </c>
      <c r="C58" s="417"/>
      <c r="D58" s="424"/>
      <c r="E58" s="418"/>
      <c r="F58" s="419"/>
      <c r="G58" s="419"/>
      <c r="H58" s="430"/>
      <c r="I58" s="430"/>
      <c r="J58" s="420"/>
      <c r="K58" s="59"/>
    </row>
    <row r="59" spans="1:11" x14ac:dyDescent="0.2">
      <c r="A59" s="198"/>
      <c r="B59" s="258"/>
      <c r="C59" s="53"/>
      <c r="D59" s="54"/>
      <c r="E59" s="54"/>
      <c r="F59" s="58"/>
      <c r="G59" s="58"/>
      <c r="H59" s="58"/>
      <c r="I59" s="58"/>
      <c r="J59" s="54"/>
      <c r="K59" s="59"/>
    </row>
    <row r="60" spans="1:11" x14ac:dyDescent="0.2">
      <c r="A60" s="198"/>
      <c r="B60" s="53"/>
      <c r="C60" s="53"/>
      <c r="D60" s="54"/>
      <c r="E60" s="54"/>
      <c r="F60" s="58"/>
      <c r="G60" s="58"/>
      <c r="H60" s="58"/>
      <c r="I60" s="58"/>
      <c r="J60" s="54"/>
    </row>
    <row r="61" spans="1:11" x14ac:dyDescent="0.2">
      <c r="A61" s="198"/>
      <c r="B61" s="53"/>
      <c r="C61" s="53"/>
      <c r="D61" s="54"/>
      <c r="E61" s="54"/>
      <c r="F61" s="58"/>
      <c r="G61" s="58"/>
      <c r="H61" s="58"/>
      <c r="I61" s="58"/>
      <c r="J61" s="54"/>
    </row>
    <row r="62" spans="1:11" x14ac:dyDescent="0.2">
      <c r="A62" s="198"/>
      <c r="B62" s="53"/>
      <c r="C62" s="53"/>
      <c r="D62" s="54"/>
      <c r="E62" s="54"/>
      <c r="F62" s="58"/>
      <c r="G62" s="58"/>
      <c r="H62" s="58"/>
      <c r="I62" s="58"/>
      <c r="J62" s="54"/>
    </row>
    <row r="63" spans="1:11" x14ac:dyDescent="0.2">
      <c r="A63" s="198"/>
      <c r="B63" s="53"/>
      <c r="C63" s="53"/>
      <c r="D63" s="54"/>
      <c r="E63" s="54"/>
      <c r="F63" s="58"/>
      <c r="G63" s="269"/>
      <c r="H63" s="272"/>
      <c r="I63" s="272"/>
      <c r="J63" s="54"/>
    </row>
    <row r="64" spans="1:11" x14ac:dyDescent="0.2">
      <c r="A64" s="198"/>
      <c r="B64" s="53"/>
      <c r="C64" s="53"/>
      <c r="D64" s="54"/>
      <c r="E64" s="54"/>
      <c r="F64" s="58"/>
      <c r="G64" s="58"/>
      <c r="H64" s="54"/>
      <c r="I64" s="54"/>
      <c r="J64" s="275"/>
    </row>
    <row r="65" spans="1:10" x14ac:dyDescent="0.2">
      <c r="A65" s="198"/>
      <c r="B65" s="197"/>
      <c r="C65" s="197"/>
      <c r="D65" s="197"/>
      <c r="E65" s="197"/>
      <c r="F65" s="197"/>
      <c r="G65" s="197"/>
      <c r="H65" s="54"/>
      <c r="I65" s="54"/>
      <c r="J65" s="197"/>
    </row>
    <row r="66" spans="1:10" x14ac:dyDescent="0.2">
      <c r="A66" s="198"/>
      <c r="B66" s="252"/>
      <c r="C66" s="197"/>
      <c r="D66" s="197"/>
      <c r="E66" s="197"/>
      <c r="F66" s="197"/>
      <c r="G66" s="197"/>
      <c r="H66" s="197"/>
      <c r="I66" s="197"/>
      <c r="J66" s="197"/>
    </row>
    <row r="67" spans="1:10" x14ac:dyDescent="0.2">
      <c r="A67" s="198"/>
      <c r="B67" s="197"/>
      <c r="C67" s="197"/>
      <c r="D67" s="197"/>
      <c r="E67" s="197"/>
      <c r="F67" s="197"/>
      <c r="G67" s="197"/>
      <c r="H67" s="197"/>
      <c r="I67" s="197"/>
      <c r="J67" s="197"/>
    </row>
    <row r="68" spans="1:10" x14ac:dyDescent="0.2">
      <c r="A68" s="198"/>
      <c r="B68" s="198"/>
      <c r="C68" s="198"/>
      <c r="D68" s="198"/>
      <c r="E68" s="198"/>
      <c r="F68" s="198"/>
      <c r="G68" s="198"/>
      <c r="H68" s="198"/>
      <c r="I68" s="198"/>
      <c r="J68" s="198"/>
    </row>
    <row r="69" spans="1:10" x14ac:dyDescent="0.2">
      <c r="A69" s="198"/>
      <c r="B69" s="198"/>
      <c r="C69" s="198"/>
      <c r="D69" s="198"/>
      <c r="E69" s="198"/>
      <c r="F69" s="198"/>
      <c r="G69" s="198"/>
      <c r="H69" s="198"/>
      <c r="I69" s="198"/>
      <c r="J69" s="198"/>
    </row>
    <row r="70" spans="1:10" x14ac:dyDescent="0.2">
      <c r="A70" s="198"/>
      <c r="B70" s="198"/>
      <c r="C70" s="198"/>
      <c r="D70" s="198"/>
      <c r="E70" s="198"/>
      <c r="F70" s="198"/>
      <c r="G70" s="198"/>
      <c r="H70" s="198"/>
      <c r="I70" s="198"/>
      <c r="J70" s="198"/>
    </row>
    <row r="71" spans="1:10" x14ac:dyDescent="0.2">
      <c r="A71" s="198"/>
      <c r="B71" s="198"/>
      <c r="C71" s="198"/>
      <c r="D71" s="198"/>
      <c r="E71" s="198"/>
      <c r="F71" s="198"/>
      <c r="G71" s="198"/>
      <c r="H71" s="198"/>
      <c r="I71" s="198"/>
      <c r="J71" s="198"/>
    </row>
    <row r="72" spans="1:10" x14ac:dyDescent="0.2">
      <c r="A72" s="198"/>
      <c r="B72" s="198"/>
      <c r="C72" s="198"/>
      <c r="D72" s="198"/>
      <c r="E72" s="198"/>
      <c r="F72" s="198"/>
      <c r="G72" s="198"/>
      <c r="H72" s="198"/>
      <c r="I72" s="198"/>
      <c r="J72" s="198"/>
    </row>
    <row r="73" spans="1:10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</row>
    <row r="74" spans="1:10" x14ac:dyDescent="0.2">
      <c r="A74" s="198"/>
      <c r="B74" s="198"/>
      <c r="C74" s="198"/>
      <c r="D74" s="198"/>
      <c r="E74" s="198"/>
      <c r="F74" s="198"/>
      <c r="G74" s="198"/>
      <c r="H74" s="198"/>
      <c r="I74" s="198"/>
      <c r="J74" s="198"/>
    </row>
    <row r="75" spans="1:10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</row>
    <row r="76" spans="1:10" x14ac:dyDescent="0.2">
      <c r="A76" s="198"/>
      <c r="B76" s="198"/>
      <c r="C76" s="198"/>
      <c r="D76" s="198"/>
      <c r="E76" s="198"/>
      <c r="F76" s="198"/>
      <c r="G76" s="198"/>
      <c r="H76" s="198"/>
      <c r="I76" s="198"/>
      <c r="J76" s="198"/>
    </row>
    <row r="77" spans="1:10" x14ac:dyDescent="0.2">
      <c r="A77" s="198"/>
      <c r="B77" s="198"/>
      <c r="C77" s="198"/>
      <c r="D77" s="198"/>
      <c r="E77" s="198"/>
      <c r="F77" s="198"/>
      <c r="G77" s="198"/>
      <c r="H77" s="198"/>
      <c r="I77" s="198"/>
      <c r="J77" s="198"/>
    </row>
    <row r="78" spans="1:10" x14ac:dyDescent="0.2">
      <c r="A78" s="198"/>
      <c r="B78" s="198"/>
      <c r="C78" s="198"/>
      <c r="D78" s="198"/>
      <c r="E78" s="198"/>
      <c r="F78" s="198"/>
      <c r="G78" s="198"/>
      <c r="H78" s="198"/>
      <c r="I78" s="198"/>
      <c r="J78" s="198"/>
    </row>
    <row r="79" spans="1:10" x14ac:dyDescent="0.2">
      <c r="A79" s="198"/>
      <c r="B79" s="198"/>
      <c r="C79" s="198"/>
      <c r="D79" s="198"/>
      <c r="E79" s="198"/>
      <c r="F79" s="198"/>
      <c r="G79" s="198"/>
      <c r="H79" s="198"/>
      <c r="I79" s="198"/>
      <c r="J79" s="198"/>
    </row>
    <row r="80" spans="1:10" x14ac:dyDescent="0.2">
      <c r="A80" s="198"/>
      <c r="B80" s="198"/>
      <c r="C80" s="198"/>
      <c r="D80" s="198"/>
      <c r="E80" s="198"/>
      <c r="F80" s="198"/>
      <c r="G80" s="198"/>
      <c r="H80" s="198"/>
      <c r="I80" s="198"/>
      <c r="J80" s="198"/>
    </row>
    <row r="81" spans="1:10" x14ac:dyDescent="0.2">
      <c r="A81" s="198"/>
      <c r="B81" s="198"/>
      <c r="C81" s="198"/>
      <c r="D81" s="198"/>
      <c r="E81" s="198"/>
      <c r="F81" s="198"/>
      <c r="G81" s="198"/>
      <c r="H81" s="198"/>
      <c r="I81" s="198"/>
      <c r="J81" s="198"/>
    </row>
    <row r="82" spans="1:10" x14ac:dyDescent="0.2">
      <c r="B82" s="198"/>
      <c r="C82" s="198"/>
      <c r="D82" s="198"/>
      <c r="E82" s="198"/>
      <c r="F82" s="198"/>
      <c r="G82" s="198"/>
      <c r="H82" s="198"/>
      <c r="I82" s="198"/>
      <c r="J82" s="198"/>
    </row>
    <row r="83" spans="1:10" x14ac:dyDescent="0.2">
      <c r="B83" s="187"/>
    </row>
    <row r="84" spans="1:10" x14ac:dyDescent="0.2">
      <c r="C84" s="187"/>
    </row>
  </sheetData>
  <conditionalFormatting sqref="J54:J56 J58:J63">
    <cfRule type="containsText" dxfId="127" priority="85" operator="containsText" text="Fail">
      <formula>NOT(ISERROR(SEARCH("Fail",J54)))</formula>
    </cfRule>
    <cfRule type="containsText" dxfId="126" priority="86" operator="containsText" text="Pass">
      <formula>NOT(ISERROR(SEARCH("Pass",J54)))</formula>
    </cfRule>
  </conditionalFormatting>
  <conditionalFormatting sqref="J48:J49">
    <cfRule type="containsText" dxfId="125" priority="83" operator="containsText" text="Fail">
      <formula>NOT(ISERROR(SEARCH("Fail",J48)))</formula>
    </cfRule>
    <cfRule type="containsText" dxfId="124" priority="84" operator="containsText" text="Pass">
      <formula>NOT(ISERROR(SEARCH("Pass",J48)))</formula>
    </cfRule>
  </conditionalFormatting>
  <conditionalFormatting sqref="J33">
    <cfRule type="containsText" dxfId="123" priority="65" operator="containsText" text="Fail">
      <formula>NOT(ISERROR(SEARCH("Fail",J33)))</formula>
    </cfRule>
    <cfRule type="containsText" dxfId="122" priority="66" operator="containsText" text="Pass">
      <formula>NOT(ISERROR(SEARCH("Pass",J33)))</formula>
    </cfRule>
  </conditionalFormatting>
  <conditionalFormatting sqref="H64:I64">
    <cfRule type="containsText" dxfId="121" priority="51" operator="containsText" text="Fail">
      <formula>NOT(ISERROR(SEARCH("Fail",H64)))</formula>
    </cfRule>
    <cfRule type="containsText" dxfId="120" priority="52" operator="containsText" text="Pass">
      <formula>NOT(ISERROR(SEARCH("Pass",H64)))</formula>
    </cfRule>
  </conditionalFormatting>
  <conditionalFormatting sqref="H56:I57">
    <cfRule type="containsText" dxfId="119" priority="55" operator="containsText" text="Fail">
      <formula>NOT(ISERROR(SEARCH("Fail",H56)))</formula>
    </cfRule>
    <cfRule type="containsText" dxfId="118" priority="56" operator="containsText" text="Pass">
      <formula>NOT(ISERROR(SEARCH("Pass",H56)))</formula>
    </cfRule>
  </conditionalFormatting>
  <conditionalFormatting sqref="H33:I33">
    <cfRule type="containsText" dxfId="117" priority="69" operator="containsText" text="Fail">
      <formula>NOT(ISERROR(SEARCH("Fail",H33)))</formula>
    </cfRule>
    <cfRule type="containsText" dxfId="116" priority="70" operator="containsText" text="Pass">
      <formula>NOT(ISERROR(SEARCH("Pass",H33)))</formula>
    </cfRule>
  </conditionalFormatting>
  <conditionalFormatting sqref="J26">
    <cfRule type="containsText" dxfId="115" priority="47" operator="containsText" text="Fail">
      <formula>NOT(ISERROR(SEARCH("Fail",J26)))</formula>
    </cfRule>
    <cfRule type="containsText" dxfId="114" priority="48" operator="containsText" text="Pass">
      <formula>NOT(ISERROR(SEARCH("Pass",J26)))</formula>
    </cfRule>
  </conditionalFormatting>
  <conditionalFormatting sqref="H50:I50">
    <cfRule type="containsText" dxfId="113" priority="59" operator="containsText" text="Fail">
      <formula>NOT(ISERROR(SEARCH("Fail",H50)))</formula>
    </cfRule>
    <cfRule type="containsText" dxfId="112" priority="60" operator="containsText" text="Pass">
      <formula>NOT(ISERROR(SEARCH("Pass",H50)))</formula>
    </cfRule>
  </conditionalFormatting>
  <conditionalFormatting sqref="J27:J28">
    <cfRule type="containsText" dxfId="111" priority="45" operator="containsText" text="Fail">
      <formula>NOT(ISERROR(SEARCH("Fail",J27)))</formula>
    </cfRule>
    <cfRule type="containsText" dxfId="110" priority="46" operator="containsText" text="Pass">
      <formula>NOT(ISERROR(SEARCH("Pass",J27)))</formula>
    </cfRule>
  </conditionalFormatting>
  <conditionalFormatting sqref="J50">
    <cfRule type="containsText" dxfId="109" priority="57" operator="containsText" text="Fail">
      <formula>NOT(ISERROR(SEARCH("Fail",J50)))</formula>
    </cfRule>
    <cfRule type="containsText" dxfId="108" priority="58" operator="containsText" text="Pass">
      <formula>NOT(ISERROR(SEARCH("Pass",J50)))</formula>
    </cfRule>
  </conditionalFormatting>
  <conditionalFormatting sqref="J57">
    <cfRule type="containsText" dxfId="107" priority="53" operator="containsText" text="Fail">
      <formula>NOT(ISERROR(SEARCH("Fail",J57)))</formula>
    </cfRule>
    <cfRule type="containsText" dxfId="106" priority="54" operator="containsText" text="Pass">
      <formula>NOT(ISERROR(SEARCH("Pass",J57)))</formula>
    </cfRule>
  </conditionalFormatting>
  <conditionalFormatting sqref="J64">
    <cfRule type="containsText" dxfId="105" priority="49" operator="containsText" text="Fail">
      <formula>NOT(ISERROR(SEARCH("Fail",J64)))</formula>
    </cfRule>
    <cfRule type="containsText" dxfId="104" priority="50" operator="containsText" text="Pass">
      <formula>NOT(ISERROR(SEARCH("Pass",J64)))</formula>
    </cfRule>
  </conditionalFormatting>
  <conditionalFormatting sqref="J43:J45 J47">
    <cfRule type="containsText" dxfId="103" priority="17" operator="containsText" text="Fail">
      <formula>NOT(ISERROR(SEARCH("Fail",J43)))</formula>
    </cfRule>
    <cfRule type="containsText" dxfId="102" priority="18" operator="containsText" text="Pass">
      <formula>NOT(ISERROR(SEARCH("Pass",J43)))</formula>
    </cfRule>
  </conditionalFormatting>
  <conditionalFormatting sqref="J37:J38">
    <cfRule type="containsText" dxfId="101" priority="15" operator="containsText" text="Fail">
      <formula>NOT(ISERROR(SEARCH("Fail",J37)))</formula>
    </cfRule>
    <cfRule type="containsText" dxfId="100" priority="16" operator="containsText" text="Pass">
      <formula>NOT(ISERROR(SEARCH("Pass",J37)))</formula>
    </cfRule>
  </conditionalFormatting>
  <conditionalFormatting sqref="H45:I46">
    <cfRule type="containsText" dxfId="99" priority="9" operator="containsText" text="Fail">
      <formula>NOT(ISERROR(SEARCH("Fail",H45)))</formula>
    </cfRule>
    <cfRule type="containsText" dxfId="98" priority="10" operator="containsText" text="Pass">
      <formula>NOT(ISERROR(SEARCH("Pass",H45)))</formula>
    </cfRule>
  </conditionalFormatting>
  <conditionalFormatting sqref="H39:I39">
    <cfRule type="containsText" dxfId="97" priority="13" operator="containsText" text="Fail">
      <formula>NOT(ISERROR(SEARCH("Fail",H39)))</formula>
    </cfRule>
    <cfRule type="containsText" dxfId="96" priority="14" operator="containsText" text="Pass">
      <formula>NOT(ISERROR(SEARCH("Pass",H39)))</formula>
    </cfRule>
  </conditionalFormatting>
  <conditionalFormatting sqref="J39">
    <cfRule type="containsText" dxfId="95" priority="11" operator="containsText" text="Fail">
      <formula>NOT(ISERROR(SEARCH("Fail",J39)))</formula>
    </cfRule>
    <cfRule type="containsText" dxfId="94" priority="12" operator="containsText" text="Pass">
      <formula>NOT(ISERROR(SEARCH("Pass",J39)))</formula>
    </cfRule>
  </conditionalFormatting>
  <conditionalFormatting sqref="J46">
    <cfRule type="containsText" dxfId="93" priority="7" operator="containsText" text="Fail">
      <formula>NOT(ISERROR(SEARCH("Fail",J46)))</formula>
    </cfRule>
    <cfRule type="containsText" dxfId="92" priority="8" operator="containsText" text="Pass">
      <formula>NOT(ISERROR(SEARCH("Pass",J46)))</formula>
    </cfRule>
  </conditionalFormatting>
  <conditionalFormatting sqref="J16">
    <cfRule type="containsText" dxfId="91" priority="5" operator="containsText" text="Fail">
      <formula>NOT(ISERROR(SEARCH("Fail",J16)))</formula>
    </cfRule>
    <cfRule type="containsText" dxfId="90" priority="6" operator="containsText" text="Pass">
      <formula>NOT(ISERROR(SEARCH("Pass",J16)))</formula>
    </cfRule>
  </conditionalFormatting>
  <conditionalFormatting sqref="J22">
    <cfRule type="containsText" dxfId="89" priority="3" operator="containsText" text="Fail">
      <formula>NOT(ISERROR(SEARCH("Fail",J22)))</formula>
    </cfRule>
    <cfRule type="containsText" dxfId="88" priority="4" operator="containsText" text="Pass">
      <formula>NOT(ISERROR(SEARCH("Pass",J22)))</formula>
    </cfRule>
  </conditionalFormatting>
  <conditionalFormatting sqref="J29">
    <cfRule type="containsText" dxfId="87" priority="1" operator="containsText" text="Fail">
      <formula>NOT(ISERROR(SEARCH("Fail",J29)))</formula>
    </cfRule>
    <cfRule type="containsText" dxfId="86" priority="2" operator="containsText" text="Pass">
      <formula>NOT(ISERROR(SEARCH("Pass",J29)))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
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83"/>
  <sheetViews>
    <sheetView showGridLines="0" showRuler="0" view="pageLayout" topLeftCell="A20" zoomScale="115" zoomScaleNormal="75" zoomScaleSheetLayoutView="85" zoomScalePageLayoutView="115" workbookViewId="0">
      <selection activeCell="K16" sqref="K16"/>
    </sheetView>
  </sheetViews>
  <sheetFormatPr baseColWidth="10" defaultRowHeight="12.75" x14ac:dyDescent="0.2"/>
  <cols>
    <col min="1" max="1" width="3" customWidth="1"/>
    <col min="2" max="18" width="9.140625" customWidth="1"/>
  </cols>
  <sheetData>
    <row r="1" spans="2:11" x14ac:dyDescent="0.2">
      <c r="B1" s="182"/>
    </row>
    <row r="3" spans="2:11" x14ac:dyDescent="0.2">
      <c r="B3" s="182"/>
      <c r="C3" s="182"/>
    </row>
    <row r="4" spans="2:11" x14ac:dyDescent="0.2">
      <c r="C4" s="59"/>
    </row>
    <row r="5" spans="2:11" ht="15.75" x14ac:dyDescent="0.25">
      <c r="B5" s="183" t="str">
        <f>U1_Forside!E47</f>
        <v>4.1 Bord-AEC, Autom. eksponeringskontroll</v>
      </c>
      <c r="C5" s="59"/>
      <c r="D5" s="59"/>
      <c r="E5" s="59"/>
      <c r="F5" s="59"/>
      <c r="K5" s="183"/>
    </row>
    <row r="6" spans="2:11" x14ac:dyDescent="0.2">
      <c r="B6" s="59" t="s">
        <v>447</v>
      </c>
    </row>
    <row r="7" spans="2:11" x14ac:dyDescent="0.2">
      <c r="B7" s="59" t="s">
        <v>422</v>
      </c>
    </row>
    <row r="8" spans="2:11" x14ac:dyDescent="0.2">
      <c r="B8" s="59" t="s">
        <v>446</v>
      </c>
      <c r="E8" s="59"/>
    </row>
    <row r="10" spans="2:11" x14ac:dyDescent="0.2">
      <c r="B10" s="258" t="str">
        <f>Målinger!N45</f>
        <v>Innstillinger</v>
      </c>
    </row>
    <row r="11" spans="2:11" x14ac:dyDescent="0.2">
      <c r="B11" s="56" t="str">
        <f>Målinger!N46</f>
        <v>Program</v>
      </c>
      <c r="C11" s="56" t="str">
        <f>Målinger!O46</f>
        <v>FFA</v>
      </c>
      <c r="D11" s="56" t="str">
        <f>Målinger!P46</f>
        <v>FPA</v>
      </c>
      <c r="E11" s="56" t="str">
        <f>Målinger!Q46</f>
        <v>ms v/1 Cu</v>
      </c>
      <c r="F11" s="56" t="str">
        <f>Målinger!R46</f>
        <v>ms v/2 Cu</v>
      </c>
    </row>
    <row r="12" spans="2:11" x14ac:dyDescent="0.2">
      <c r="B12" s="56" t="str">
        <f>IF(Målinger!N47="","",Målinger!N47)</f>
        <v/>
      </c>
      <c r="C12" s="56" t="str">
        <f>IF(Målinger!O47="","",Målinger!O47)</f>
        <v/>
      </c>
      <c r="D12" s="56" t="str">
        <f>IF(Målinger!P47="","",Målinger!P47)</f>
        <v/>
      </c>
      <c r="E12" s="302">
        <f>IF(Målinger!Q47="","",Målinger!Q47)</f>
        <v>0</v>
      </c>
      <c r="F12" s="302">
        <f>IF(Målinger!R47="","",Målinger!R47)</f>
        <v>0</v>
      </c>
    </row>
    <row r="14" spans="2:11" x14ac:dyDescent="0.2">
      <c r="B14" s="410" t="s">
        <v>218</v>
      </c>
      <c r="C14" s="411"/>
      <c r="D14" s="411"/>
      <c r="E14" s="411"/>
      <c r="F14" s="411"/>
    </row>
    <row r="15" spans="2:11" x14ac:dyDescent="0.2">
      <c r="H15" s="184" t="s">
        <v>219</v>
      </c>
      <c r="I15" s="189" t="str">
        <f>Målinger!J46</f>
        <v/>
      </c>
    </row>
    <row r="16" spans="2:11" x14ac:dyDescent="0.2">
      <c r="H16" s="184" t="s">
        <v>199</v>
      </c>
      <c r="I16" s="189" t="str">
        <f>Målinger!J47</f>
        <v/>
      </c>
    </row>
    <row r="17" spans="1:10" ht="13.5" thickBot="1" x14ac:dyDescent="0.25">
      <c r="H17" s="184" t="s">
        <v>217</v>
      </c>
      <c r="I17" s="372" t="str">
        <f>Målinger!J48</f>
        <v/>
      </c>
      <c r="J17" s="396" t="str">
        <f>Målinger!J49</f>
        <v/>
      </c>
    </row>
    <row r="18" spans="1:10" ht="13.5" thickBot="1" x14ac:dyDescent="0.25">
      <c r="B18" s="397" t="s">
        <v>156</v>
      </c>
      <c r="C18" s="417"/>
      <c r="D18" s="398"/>
      <c r="E18" s="417"/>
      <c r="F18" s="398"/>
      <c r="G18" s="398"/>
      <c r="H18" s="417"/>
      <c r="I18" s="398"/>
      <c r="J18" s="399"/>
    </row>
    <row r="20" spans="1:10" x14ac:dyDescent="0.2">
      <c r="B20" s="410" t="s">
        <v>41</v>
      </c>
      <c r="C20" s="411"/>
      <c r="D20" s="411"/>
      <c r="E20" s="411"/>
    </row>
    <row r="21" spans="1:10" x14ac:dyDescent="0.2">
      <c r="H21" s="184" t="s">
        <v>220</v>
      </c>
      <c r="I21" s="189" t="str">
        <f>Målinger!J59</f>
        <v/>
      </c>
    </row>
    <row r="22" spans="1:10" x14ac:dyDescent="0.2">
      <c r="H22" s="184" t="s">
        <v>221</v>
      </c>
      <c r="I22" s="304" t="str">
        <f>Målinger!J60</f>
        <v/>
      </c>
    </row>
    <row r="23" spans="1:10" x14ac:dyDescent="0.2">
      <c r="H23" s="184" t="s">
        <v>222</v>
      </c>
      <c r="I23" s="304" t="str">
        <f>Målinger!J61</f>
        <v/>
      </c>
    </row>
    <row r="24" spans="1:10" x14ac:dyDescent="0.2">
      <c r="H24" s="184" t="s">
        <v>223</v>
      </c>
      <c r="I24" s="304" t="str">
        <f>Målinger!J62</f>
        <v/>
      </c>
    </row>
    <row r="25" spans="1:10" ht="13.5" thickBot="1" x14ac:dyDescent="0.25">
      <c r="H25" s="184" t="s">
        <v>224</v>
      </c>
      <c r="I25" s="304" t="str">
        <f>Målinger!J64</f>
        <v/>
      </c>
      <c r="J25" s="56" t="str">
        <f>Målinger!J65</f>
        <v/>
      </c>
    </row>
    <row r="26" spans="1:10" ht="13.5" thickBot="1" x14ac:dyDescent="0.25">
      <c r="B26" s="397" t="s">
        <v>156</v>
      </c>
      <c r="C26" s="417"/>
      <c r="D26" s="398"/>
      <c r="E26" s="398"/>
      <c r="F26" s="398"/>
      <c r="G26" s="398"/>
      <c r="H26" s="398"/>
      <c r="I26" s="398"/>
      <c r="J26" s="399"/>
    </row>
    <row r="27" spans="1:10" x14ac:dyDescent="0.2">
      <c r="A27" s="198"/>
    </row>
    <row r="28" spans="1:10" x14ac:dyDescent="0.2">
      <c r="A28" s="198"/>
      <c r="B28" s="410" t="s">
        <v>225</v>
      </c>
      <c r="C28" s="411"/>
      <c r="D28" s="411"/>
      <c r="E28" s="411"/>
      <c r="F28" s="411"/>
    </row>
    <row r="29" spans="1:10" x14ac:dyDescent="0.2">
      <c r="A29" s="198"/>
      <c r="B29" s="53"/>
      <c r="C29" s="274"/>
      <c r="E29" s="11"/>
      <c r="F29" s="11" t="str">
        <f>Målinger!P52</f>
        <v>1 mmCu</v>
      </c>
      <c r="G29" s="11" t="str">
        <f>Målinger!Q52</f>
        <v>2 mmCu</v>
      </c>
      <c r="H29" s="11" t="str">
        <f>Målinger!R52</f>
        <v>Snitt</v>
      </c>
      <c r="I29" s="11" t="str">
        <f>Målinger!S52</f>
        <v>% Avvik</v>
      </c>
    </row>
    <row r="30" spans="1:10" x14ac:dyDescent="0.2">
      <c r="A30" s="198"/>
      <c r="C30" s="274"/>
      <c r="D30" s="274"/>
      <c r="E30" s="184" t="s">
        <v>227</v>
      </c>
      <c r="F30" s="189" t="str">
        <f>Målinger!P53</f>
        <v/>
      </c>
      <c r="G30" s="189" t="str">
        <f>Målinger!Q53</f>
        <v/>
      </c>
      <c r="H30" s="189" t="str">
        <f>Målinger!R53</f>
        <v/>
      </c>
      <c r="I30" s="190" t="str">
        <f>Målinger!S53</f>
        <v/>
      </c>
    </row>
    <row r="31" spans="1:10" ht="13.5" customHeight="1" x14ac:dyDescent="0.2">
      <c r="A31" s="198"/>
      <c r="B31" s="53"/>
      <c r="C31" s="274"/>
      <c r="D31" s="274"/>
      <c r="E31" s="184" t="s">
        <v>228</v>
      </c>
      <c r="F31" s="189" t="str">
        <f>Målinger!P54</f>
        <v/>
      </c>
      <c r="G31" s="189" t="str">
        <f>Målinger!Q54</f>
        <v/>
      </c>
      <c r="H31" s="189" t="str">
        <f>Målinger!R54</f>
        <v/>
      </c>
      <c r="I31" s="190" t="str">
        <f>Målinger!S54</f>
        <v/>
      </c>
      <c r="J31" s="274"/>
    </row>
    <row r="32" spans="1:10" x14ac:dyDescent="0.2">
      <c r="A32" s="198"/>
      <c r="B32" s="197"/>
      <c r="C32" s="274"/>
      <c r="D32" s="274"/>
      <c r="E32" s="184" t="s">
        <v>229</v>
      </c>
      <c r="F32" s="189" t="str">
        <f>Målinger!P55</f>
        <v/>
      </c>
      <c r="G32" s="189" t="str">
        <f>Målinger!Q55</f>
        <v/>
      </c>
      <c r="H32" s="189" t="str">
        <f>Målinger!R55</f>
        <v/>
      </c>
      <c r="I32" s="190" t="str">
        <f>Målinger!S55</f>
        <v/>
      </c>
      <c r="J32" s="274"/>
    </row>
    <row r="33" spans="1:13" x14ac:dyDescent="0.2">
      <c r="A33" s="198"/>
      <c r="B33" s="197"/>
      <c r="C33" s="274"/>
      <c r="D33" s="273"/>
      <c r="E33" s="11"/>
      <c r="F33" s="11"/>
      <c r="G33" s="11"/>
      <c r="H33" s="184" t="s">
        <v>230</v>
      </c>
      <c r="I33" s="190" t="str">
        <f>Målinger!S56</f>
        <v/>
      </c>
      <c r="J33" s="56" t="str">
        <f>Målinger!S57</f>
        <v/>
      </c>
    </row>
    <row r="34" spans="1:13" ht="14.25" customHeight="1" x14ac:dyDescent="0.2">
      <c r="A34" s="198"/>
      <c r="B34" s="197"/>
      <c r="C34" s="274"/>
      <c r="D34" s="273"/>
      <c r="E34" s="11"/>
      <c r="F34" s="11"/>
      <c r="G34" s="11"/>
      <c r="H34" s="11"/>
      <c r="J34" s="274"/>
      <c r="M34" s="59"/>
    </row>
    <row r="35" spans="1:13" x14ac:dyDescent="0.2">
      <c r="A35" s="198"/>
      <c r="B35" s="410" t="s">
        <v>445</v>
      </c>
      <c r="C35" s="412"/>
      <c r="D35" s="413"/>
      <c r="E35" s="414"/>
      <c r="F35" s="414"/>
      <c r="G35" s="414"/>
      <c r="H35" s="414"/>
      <c r="I35" s="411"/>
      <c r="J35" s="197"/>
    </row>
    <row r="36" spans="1:13" x14ac:dyDescent="0.2">
      <c r="A36" s="198"/>
      <c r="B36" s="59"/>
      <c r="C36" s="274"/>
      <c r="D36" s="274"/>
      <c r="E36" s="11"/>
      <c r="F36" s="11"/>
      <c r="G36" s="11"/>
      <c r="H36" s="11" t="str">
        <f>Målinger!I52</f>
        <v>Innstilling</v>
      </c>
      <c r="I36" s="318" t="str">
        <f>Målinger!J52</f>
        <v>% endring fra "0"</v>
      </c>
      <c r="J36" s="197"/>
    </row>
    <row r="37" spans="1:13" x14ac:dyDescent="0.2">
      <c r="A37" s="198"/>
      <c r="B37" s="59"/>
      <c r="C37" s="274"/>
      <c r="D37" s="274"/>
      <c r="E37" s="11"/>
      <c r="F37" s="11"/>
      <c r="G37" s="11"/>
      <c r="H37" s="188" t="str">
        <f>Målinger!I53</f>
        <v>"+2"</v>
      </c>
      <c r="I37" s="190" t="str">
        <f>Målinger!J53</f>
        <v/>
      </c>
      <c r="J37" s="274"/>
    </row>
    <row r="38" spans="1:13" x14ac:dyDescent="0.2">
      <c r="A38" s="198"/>
      <c r="B38" s="59"/>
      <c r="C38" s="274"/>
      <c r="D38" s="274"/>
      <c r="E38" s="11"/>
      <c r="F38" s="11"/>
      <c r="G38" s="11"/>
      <c r="H38" s="188" t="str">
        <f>Målinger!I54</f>
        <v>"+1"</v>
      </c>
      <c r="I38" s="190" t="str">
        <f>Målinger!J54</f>
        <v/>
      </c>
      <c r="J38" s="274"/>
    </row>
    <row r="39" spans="1:13" x14ac:dyDescent="0.2">
      <c r="A39" s="198"/>
      <c r="B39" s="59"/>
      <c r="C39" s="274"/>
      <c r="D39" s="274"/>
      <c r="E39" s="11"/>
      <c r="F39" s="11"/>
      <c r="G39" s="11"/>
      <c r="H39" s="188" t="str">
        <f>Målinger!I55</f>
        <v>"-1"</v>
      </c>
      <c r="I39" s="190" t="str">
        <f>Målinger!J55</f>
        <v/>
      </c>
      <c r="J39" s="274"/>
    </row>
    <row r="40" spans="1:13" ht="13.5" thickBot="1" x14ac:dyDescent="0.25">
      <c r="A40" s="198"/>
      <c r="C40" s="274"/>
      <c r="D40" s="274"/>
      <c r="E40" s="11"/>
      <c r="F40" s="11"/>
      <c r="G40" s="11"/>
      <c r="H40" s="330" t="str">
        <f>Målinger!I56</f>
        <v>"-2"</v>
      </c>
      <c r="I40" s="372" t="str">
        <f>Målinger!J56</f>
        <v/>
      </c>
      <c r="J40" s="274"/>
    </row>
    <row r="41" spans="1:13" x14ac:dyDescent="0.2">
      <c r="A41" s="198"/>
      <c r="B41" s="400" t="s">
        <v>156</v>
      </c>
      <c r="C41" s="401"/>
      <c r="D41" s="402"/>
      <c r="E41" s="401"/>
      <c r="F41" s="403"/>
      <c r="G41" s="403"/>
      <c r="H41" s="403"/>
      <c r="I41" s="403"/>
      <c r="J41" s="404"/>
    </row>
    <row r="42" spans="1:13" ht="13.5" thickBot="1" x14ac:dyDescent="0.25">
      <c r="A42" s="198"/>
      <c r="B42" s="405"/>
      <c r="C42" s="406"/>
      <c r="D42" s="423"/>
      <c r="E42" s="407"/>
      <c r="F42" s="407"/>
      <c r="G42" s="407"/>
      <c r="H42" s="407"/>
      <c r="I42" s="407"/>
      <c r="J42" s="408"/>
    </row>
    <row r="43" spans="1:13" x14ac:dyDescent="0.2">
      <c r="A43" s="415"/>
      <c r="B43" s="411"/>
      <c r="C43" s="412"/>
      <c r="D43" s="412"/>
      <c r="E43" s="414"/>
      <c r="F43" s="414"/>
      <c r="G43" s="414"/>
      <c r="H43" s="414"/>
      <c r="I43" s="416" t="s">
        <v>234</v>
      </c>
      <c r="J43" s="274"/>
    </row>
    <row r="44" spans="1:13" x14ac:dyDescent="0.2">
      <c r="A44" s="198"/>
      <c r="C44" s="274"/>
      <c r="D44" s="274"/>
      <c r="E44" s="283"/>
      <c r="F44" s="283"/>
      <c r="G44" s="11"/>
      <c r="H44" s="58" t="str">
        <f>Målinger!N61</f>
        <v>kV</v>
      </c>
      <c r="I44" s="58" t="str">
        <f>Målinger!O61</f>
        <v>Dose (µGy)</v>
      </c>
      <c r="J44" s="275"/>
    </row>
    <row r="45" spans="1:13" x14ac:dyDescent="0.2">
      <c r="A45" s="198"/>
      <c r="C45" s="274"/>
      <c r="D45" s="274"/>
      <c r="E45" s="283"/>
      <c r="F45" s="283"/>
      <c r="G45" s="283"/>
      <c r="H45" s="256">
        <f>Målinger!N62</f>
        <v>66</v>
      </c>
      <c r="I45" s="302" t="str">
        <f>Målinger!O62</f>
        <v/>
      </c>
      <c r="J45" s="274"/>
    </row>
    <row r="46" spans="1:13" x14ac:dyDescent="0.2">
      <c r="A46" s="198"/>
      <c r="C46" s="274"/>
      <c r="D46" s="274"/>
      <c r="E46" s="274"/>
      <c r="F46" s="274"/>
      <c r="G46" s="274"/>
      <c r="H46" s="256">
        <f>Målinger!N63</f>
        <v>73</v>
      </c>
      <c r="I46" s="302" t="str">
        <f>Målinger!O63</f>
        <v/>
      </c>
      <c r="J46" s="197"/>
    </row>
    <row r="47" spans="1:13" x14ac:dyDescent="0.2">
      <c r="A47" s="198"/>
      <c r="C47" s="274"/>
      <c r="D47" s="274"/>
      <c r="E47" s="274"/>
      <c r="F47" s="274"/>
      <c r="G47" s="274"/>
      <c r="H47" s="256">
        <f>Målinger!N64</f>
        <v>102</v>
      </c>
      <c r="I47" s="302" t="str">
        <f>Målinger!O64</f>
        <v/>
      </c>
      <c r="J47" s="197"/>
      <c r="K47" s="59"/>
    </row>
    <row r="48" spans="1:13" x14ac:dyDescent="0.2">
      <c r="A48" s="198"/>
      <c r="C48" s="274"/>
      <c r="D48" s="274"/>
      <c r="E48" s="316"/>
      <c r="F48" s="316"/>
      <c r="G48" s="266"/>
      <c r="H48" s="256">
        <f>Målinger!N65</f>
        <v>117</v>
      </c>
      <c r="I48" s="302" t="str">
        <f>Målinger!O65</f>
        <v/>
      </c>
      <c r="J48" s="197"/>
      <c r="K48" s="59"/>
    </row>
    <row r="49" spans="1:11" x14ac:dyDescent="0.2">
      <c r="A49" s="198"/>
      <c r="C49" s="274"/>
      <c r="D49" s="274"/>
      <c r="E49" s="274"/>
      <c r="F49" s="274"/>
      <c r="G49" s="266"/>
      <c r="H49" s="58"/>
      <c r="I49" s="58"/>
      <c r="J49" s="197"/>
      <c r="K49" s="59"/>
    </row>
    <row r="50" spans="1:11" x14ac:dyDescent="0.2">
      <c r="A50" s="198"/>
      <c r="C50" s="274"/>
      <c r="D50" s="274"/>
      <c r="E50" s="274"/>
      <c r="F50" s="274"/>
      <c r="G50" s="274"/>
      <c r="H50" s="58"/>
      <c r="I50" s="58"/>
      <c r="J50" s="275"/>
      <c r="K50" s="59"/>
    </row>
    <row r="51" spans="1:11" x14ac:dyDescent="0.2">
      <c r="A51" s="198"/>
      <c r="B51" s="278"/>
      <c r="C51" s="249"/>
      <c r="D51" s="197"/>
      <c r="E51" s="197"/>
      <c r="F51" s="197"/>
      <c r="G51" s="249"/>
      <c r="H51" s="276"/>
      <c r="I51" s="276"/>
      <c r="J51" s="197"/>
      <c r="K51" s="59"/>
    </row>
    <row r="52" spans="1:11" x14ac:dyDescent="0.2">
      <c r="A52" s="198"/>
      <c r="B52" s="278"/>
      <c r="C52" s="249"/>
      <c r="D52" s="197"/>
      <c r="E52" s="197"/>
      <c r="F52" s="197"/>
      <c r="G52" s="249"/>
      <c r="H52" s="276"/>
      <c r="I52" s="276"/>
      <c r="J52" s="197"/>
      <c r="K52" s="59"/>
    </row>
    <row r="53" spans="1:11" ht="15.75" x14ac:dyDescent="0.25">
      <c r="A53" s="198"/>
      <c r="B53" s="280"/>
      <c r="C53" s="249"/>
      <c r="D53" s="197"/>
      <c r="E53" s="197"/>
      <c r="F53" s="197"/>
      <c r="G53" s="249"/>
      <c r="H53" s="276"/>
      <c r="I53" s="276"/>
      <c r="J53" s="197"/>
      <c r="K53" s="59"/>
    </row>
    <row r="54" spans="1:11" x14ac:dyDescent="0.2">
      <c r="A54" s="198"/>
      <c r="B54" s="197"/>
      <c r="C54" s="249"/>
      <c r="D54" s="197"/>
      <c r="E54" s="197"/>
      <c r="F54" s="197"/>
      <c r="G54" s="249"/>
      <c r="H54" s="276"/>
      <c r="I54" s="276"/>
      <c r="J54" s="251"/>
      <c r="K54" s="59"/>
    </row>
    <row r="55" spans="1:11" x14ac:dyDescent="0.2">
      <c r="A55" s="198"/>
      <c r="B55" s="53"/>
      <c r="C55" s="274"/>
      <c r="D55" s="273"/>
      <c r="E55" s="274"/>
      <c r="F55" s="53"/>
      <c r="G55" s="266"/>
      <c r="H55" s="309"/>
      <c r="I55" s="309"/>
      <c r="J55" s="251"/>
      <c r="K55" s="59"/>
    </row>
    <row r="56" spans="1:11" x14ac:dyDescent="0.2">
      <c r="A56" s="198"/>
      <c r="B56" s="53"/>
      <c r="C56" s="274"/>
      <c r="D56" s="273"/>
      <c r="E56" s="274"/>
      <c r="F56" s="274"/>
      <c r="G56" s="266"/>
      <c r="H56" s="54"/>
      <c r="I56" s="54"/>
      <c r="J56" s="251"/>
      <c r="K56" s="59"/>
    </row>
    <row r="57" spans="1:11" x14ac:dyDescent="0.2">
      <c r="B57" s="622" t="s">
        <v>380</v>
      </c>
      <c r="C57" s="620"/>
      <c r="D57" s="620"/>
      <c r="E57" s="56"/>
      <c r="G57" s="58"/>
      <c r="H57" s="54"/>
      <c r="I57" s="54"/>
      <c r="J57" s="275"/>
      <c r="K57" s="59"/>
    </row>
    <row r="58" spans="1:11" x14ac:dyDescent="0.2">
      <c r="A58" s="198"/>
      <c r="B58" s="622" t="s">
        <v>397</v>
      </c>
      <c r="C58" s="412"/>
      <c r="D58" s="667"/>
      <c r="E58" s="56" t="str">
        <f>Målinger!AI65</f>
        <v/>
      </c>
      <c r="G58" s="58"/>
      <c r="H58" s="58"/>
      <c r="I58" s="58"/>
      <c r="J58" s="54"/>
      <c r="K58" s="59"/>
    </row>
    <row r="59" spans="1:11" ht="13.5" thickBot="1" x14ac:dyDescent="0.25">
      <c r="A59" s="198"/>
      <c r="B59" s="53"/>
      <c r="C59" s="53"/>
      <c r="D59" s="54"/>
      <c r="E59" s="54"/>
      <c r="F59" s="58"/>
      <c r="G59" s="58"/>
      <c r="H59" s="58"/>
      <c r="I59" s="58"/>
      <c r="J59" s="54"/>
      <c r="K59" s="59"/>
    </row>
    <row r="60" spans="1:11" ht="13.5" thickBot="1" x14ac:dyDescent="0.25">
      <c r="A60" s="198"/>
      <c r="B60" s="397" t="s">
        <v>156</v>
      </c>
      <c r="C60" s="417"/>
      <c r="D60" s="398"/>
      <c r="E60" s="418"/>
      <c r="F60" s="419"/>
      <c r="G60" s="419"/>
      <c r="H60" s="419"/>
      <c r="I60" s="419"/>
      <c r="J60" s="420"/>
    </row>
    <row r="61" spans="1:11" x14ac:dyDescent="0.2">
      <c r="A61" s="198"/>
      <c r="B61" s="53"/>
      <c r="C61" s="53"/>
      <c r="D61" s="54"/>
      <c r="E61" s="54"/>
      <c r="F61" s="58"/>
      <c r="G61" s="58"/>
      <c r="H61" s="58"/>
      <c r="I61" s="58"/>
      <c r="J61" s="54"/>
    </row>
    <row r="62" spans="1:11" x14ac:dyDescent="0.2">
      <c r="A62" s="198"/>
      <c r="B62" s="53"/>
      <c r="C62" s="53"/>
      <c r="D62" s="54"/>
      <c r="E62" s="54"/>
      <c r="F62" s="58"/>
      <c r="G62" s="269"/>
      <c r="H62" s="272"/>
      <c r="I62" s="272"/>
      <c r="J62" s="54"/>
    </row>
    <row r="63" spans="1:11" x14ac:dyDescent="0.2">
      <c r="A63" s="198"/>
      <c r="B63" s="53"/>
      <c r="C63" s="53"/>
      <c r="D63" s="54"/>
      <c r="E63" s="54"/>
      <c r="F63" s="58"/>
      <c r="G63" s="58"/>
      <c r="H63" s="54"/>
      <c r="I63" s="54"/>
      <c r="J63" s="54"/>
    </row>
    <row r="64" spans="1:11" x14ac:dyDescent="0.2">
      <c r="A64" s="198"/>
      <c r="B64" s="197"/>
      <c r="C64" s="197"/>
      <c r="D64" s="197"/>
      <c r="E64" s="197"/>
      <c r="F64" s="197"/>
      <c r="G64" s="197"/>
      <c r="H64" s="54"/>
      <c r="I64" s="54"/>
      <c r="J64" s="275"/>
    </row>
    <row r="65" spans="1:10" x14ac:dyDescent="0.2">
      <c r="A65" s="198"/>
      <c r="B65" s="252"/>
      <c r="C65" s="197"/>
      <c r="D65" s="197"/>
      <c r="E65" s="197"/>
      <c r="F65" s="197"/>
      <c r="G65" s="197"/>
      <c r="H65" s="197"/>
      <c r="I65" s="197"/>
      <c r="J65" s="197"/>
    </row>
    <row r="66" spans="1:10" x14ac:dyDescent="0.2">
      <c r="A66" s="198"/>
      <c r="B66" s="197"/>
      <c r="C66" s="197"/>
      <c r="D66" s="197"/>
      <c r="E66" s="197"/>
      <c r="F66" s="197"/>
      <c r="G66" s="197"/>
      <c r="H66" s="197"/>
      <c r="I66" s="197"/>
      <c r="J66" s="197"/>
    </row>
    <row r="67" spans="1:10" x14ac:dyDescent="0.2">
      <c r="A67" s="198"/>
      <c r="B67" s="198"/>
      <c r="C67" s="198"/>
      <c r="D67" s="198"/>
      <c r="E67" s="198"/>
      <c r="F67" s="198"/>
      <c r="G67" s="198"/>
      <c r="H67" s="198"/>
      <c r="I67" s="198"/>
      <c r="J67" s="197"/>
    </row>
    <row r="68" spans="1:10" x14ac:dyDescent="0.2">
      <c r="A68" s="198"/>
      <c r="B68" s="198"/>
      <c r="C68" s="198"/>
      <c r="D68" s="198"/>
      <c r="E68" s="198"/>
      <c r="F68" s="198"/>
      <c r="G68" s="198"/>
      <c r="H68" s="198"/>
      <c r="I68" s="198"/>
      <c r="J68" s="198"/>
    </row>
    <row r="69" spans="1:10" x14ac:dyDescent="0.2">
      <c r="A69" s="198"/>
      <c r="B69" s="198"/>
      <c r="C69" s="198"/>
      <c r="D69" s="198"/>
      <c r="E69" s="198"/>
      <c r="F69" s="198"/>
      <c r="G69" s="198"/>
      <c r="H69" s="198"/>
      <c r="I69" s="198"/>
      <c r="J69" s="198"/>
    </row>
    <row r="70" spans="1:10" x14ac:dyDescent="0.2">
      <c r="A70" s="198"/>
      <c r="B70" s="198"/>
      <c r="C70" s="198"/>
      <c r="D70" s="198"/>
      <c r="E70" s="198"/>
      <c r="F70" s="198"/>
      <c r="G70" s="198"/>
      <c r="H70" s="198"/>
      <c r="I70" s="198"/>
      <c r="J70" s="198"/>
    </row>
    <row r="71" spans="1:10" x14ac:dyDescent="0.2">
      <c r="A71" s="198"/>
      <c r="B71" s="198"/>
      <c r="C71" s="198"/>
      <c r="D71" s="198"/>
      <c r="E71" s="198"/>
      <c r="F71" s="198"/>
      <c r="G71" s="198"/>
      <c r="H71" s="198"/>
      <c r="I71" s="198"/>
      <c r="J71" s="198"/>
    </row>
    <row r="72" spans="1:10" x14ac:dyDescent="0.2">
      <c r="A72" s="198"/>
      <c r="B72" s="198"/>
      <c r="C72" s="198"/>
      <c r="D72" s="198"/>
      <c r="E72" s="198"/>
      <c r="F72" s="198"/>
      <c r="G72" s="198"/>
      <c r="H72" s="198"/>
      <c r="I72" s="198"/>
      <c r="J72" s="198"/>
    </row>
    <row r="73" spans="1:10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</row>
    <row r="74" spans="1:10" x14ac:dyDescent="0.2">
      <c r="A74" s="198"/>
      <c r="B74" s="198"/>
      <c r="C74" s="198"/>
      <c r="D74" s="198"/>
      <c r="E74" s="198"/>
      <c r="F74" s="198"/>
      <c r="G74" s="198"/>
      <c r="H74" s="198"/>
      <c r="I74" s="198"/>
      <c r="J74" s="198"/>
    </row>
    <row r="75" spans="1:10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</row>
    <row r="76" spans="1:10" x14ac:dyDescent="0.2">
      <c r="A76" s="198"/>
      <c r="B76" s="198"/>
      <c r="C76" s="198"/>
      <c r="D76" s="198"/>
      <c r="E76" s="198"/>
      <c r="F76" s="198"/>
      <c r="G76" s="198"/>
      <c r="H76" s="198"/>
      <c r="I76" s="198"/>
      <c r="J76" s="198"/>
    </row>
    <row r="77" spans="1:10" x14ac:dyDescent="0.2">
      <c r="A77" s="198"/>
      <c r="B77" s="198"/>
      <c r="C77" s="198"/>
      <c r="D77" s="198"/>
      <c r="E77" s="198"/>
      <c r="F77" s="198"/>
      <c r="G77" s="198"/>
      <c r="H77" s="198"/>
      <c r="I77" s="198"/>
      <c r="J77" s="198"/>
    </row>
    <row r="78" spans="1:10" x14ac:dyDescent="0.2">
      <c r="A78" s="198"/>
      <c r="B78" s="198"/>
      <c r="C78" s="198"/>
      <c r="D78" s="198"/>
      <c r="E78" s="198"/>
      <c r="F78" s="198"/>
      <c r="G78" s="198"/>
      <c r="H78" s="198"/>
      <c r="I78" s="198"/>
      <c r="J78" s="198"/>
    </row>
    <row r="79" spans="1:10" x14ac:dyDescent="0.2">
      <c r="A79" s="198"/>
      <c r="B79" s="198"/>
      <c r="C79" s="198"/>
      <c r="D79" s="198"/>
      <c r="E79" s="198"/>
      <c r="F79" s="198"/>
      <c r="G79" s="198"/>
      <c r="H79" s="198"/>
      <c r="I79" s="198"/>
      <c r="J79" s="198"/>
    </row>
    <row r="80" spans="1:10" x14ac:dyDescent="0.2">
      <c r="A80" s="198"/>
      <c r="B80" s="198"/>
      <c r="C80" s="198"/>
      <c r="D80" s="198"/>
      <c r="E80" s="198"/>
      <c r="F80" s="198"/>
      <c r="G80" s="198"/>
      <c r="H80" s="198"/>
      <c r="I80" s="198"/>
      <c r="J80" s="198"/>
    </row>
    <row r="81" spans="2:10" x14ac:dyDescent="0.2">
      <c r="B81" s="198"/>
      <c r="C81" s="198"/>
      <c r="D81" s="198"/>
      <c r="E81" s="198"/>
      <c r="F81" s="198"/>
      <c r="G81" s="198"/>
      <c r="H81" s="198"/>
      <c r="I81" s="198"/>
      <c r="J81" s="198"/>
    </row>
    <row r="82" spans="2:10" x14ac:dyDescent="0.2">
      <c r="B82" s="187"/>
      <c r="J82" s="198"/>
    </row>
    <row r="83" spans="2:10" x14ac:dyDescent="0.2">
      <c r="C83" s="187"/>
    </row>
  </sheetData>
  <conditionalFormatting sqref="J58:J63">
    <cfRule type="containsText" dxfId="85" priority="53" operator="containsText" text="Fail">
      <formula>NOT(ISERROR(SEARCH("Fail",J58)))</formula>
    </cfRule>
    <cfRule type="containsText" dxfId="84" priority="54" operator="containsText" text="Pass">
      <formula>NOT(ISERROR(SEARCH("Pass",J58)))</formula>
    </cfRule>
  </conditionalFormatting>
  <conditionalFormatting sqref="H63:I63">
    <cfRule type="containsText" dxfId="83" priority="37" operator="containsText" text="Fail">
      <formula>NOT(ISERROR(SEARCH("Fail",H63)))</formula>
    </cfRule>
    <cfRule type="containsText" dxfId="82" priority="38" operator="containsText" text="Pass">
      <formula>NOT(ISERROR(SEARCH("Pass",H63)))</formula>
    </cfRule>
  </conditionalFormatting>
  <conditionalFormatting sqref="J54">
    <cfRule type="containsText" dxfId="81" priority="33" operator="containsText" text="Fail">
      <formula>NOT(ISERROR(SEARCH("Fail",J54)))</formula>
    </cfRule>
    <cfRule type="containsText" dxfId="80" priority="34" operator="containsText" text="Pass">
      <formula>NOT(ISERROR(SEARCH("Pass",J54)))</formula>
    </cfRule>
  </conditionalFormatting>
  <conditionalFormatting sqref="J55:J56">
    <cfRule type="containsText" dxfId="79" priority="31" operator="containsText" text="Fail">
      <formula>NOT(ISERROR(SEARCH("Fail",J55)))</formula>
    </cfRule>
    <cfRule type="containsText" dxfId="78" priority="32" operator="containsText" text="Pass">
      <formula>NOT(ISERROR(SEARCH("Pass",J55)))</formula>
    </cfRule>
  </conditionalFormatting>
  <conditionalFormatting sqref="J64">
    <cfRule type="containsText" dxfId="77" priority="35" operator="containsText" text="Fail">
      <formula>NOT(ISERROR(SEARCH("Fail",J64)))</formula>
    </cfRule>
    <cfRule type="containsText" dxfId="76" priority="36" operator="containsText" text="Pass">
      <formula>NOT(ISERROR(SEARCH("Pass",J64)))</formula>
    </cfRule>
  </conditionalFormatting>
  <conditionalFormatting sqref="J50">
    <cfRule type="containsText" dxfId="75" priority="23" operator="containsText" text="Fail">
      <formula>NOT(ISERROR(SEARCH("Fail",J50)))</formula>
    </cfRule>
    <cfRule type="containsText" dxfId="74" priority="24" operator="containsText" text="Pass">
      <formula>NOT(ISERROR(SEARCH("Pass",J50)))</formula>
    </cfRule>
  </conditionalFormatting>
  <conditionalFormatting sqref="J44">
    <cfRule type="containsText" dxfId="73" priority="29" operator="containsText" text="Fail">
      <formula>NOT(ISERROR(SEARCH("Fail",J44)))</formula>
    </cfRule>
    <cfRule type="containsText" dxfId="72" priority="30" operator="containsText" text="Pass">
      <formula>NOT(ISERROR(SEARCH("Pass",J44)))</formula>
    </cfRule>
  </conditionalFormatting>
  <conditionalFormatting sqref="J57">
    <cfRule type="containsText" dxfId="71" priority="21" operator="containsText" text="Fail">
      <formula>NOT(ISERROR(SEARCH("Fail",J57)))</formula>
    </cfRule>
    <cfRule type="containsText" dxfId="70" priority="22" operator="containsText" text="Pass">
      <formula>NOT(ISERROR(SEARCH("Pass",J57)))</formula>
    </cfRule>
  </conditionalFormatting>
  <conditionalFormatting sqref="H56:I56">
    <cfRule type="containsText" dxfId="69" priority="19" operator="containsText" text="Fail">
      <formula>NOT(ISERROR(SEARCH("Fail",H56)))</formula>
    </cfRule>
    <cfRule type="containsText" dxfId="68" priority="20" operator="containsText" text="Pass">
      <formula>NOT(ISERROR(SEARCH("Pass",H56)))</formula>
    </cfRule>
  </conditionalFormatting>
  <conditionalFormatting sqref="J17">
    <cfRule type="containsText" dxfId="67" priority="5" operator="containsText" text="Fail">
      <formula>NOT(ISERROR(SEARCH("Fail",J17)))</formula>
    </cfRule>
    <cfRule type="containsText" dxfId="66" priority="6" operator="containsText" text="Pass">
      <formula>NOT(ISERROR(SEARCH("Pass",J17)))</formula>
    </cfRule>
  </conditionalFormatting>
  <conditionalFormatting sqref="J25">
    <cfRule type="containsText" dxfId="65" priority="3" operator="containsText" text="Fail">
      <formula>NOT(ISERROR(SEARCH("Fail",J25)))</formula>
    </cfRule>
    <cfRule type="containsText" dxfId="64" priority="4" operator="containsText" text="Pass">
      <formula>NOT(ISERROR(SEARCH("Pass",J25)))</formula>
    </cfRule>
  </conditionalFormatting>
  <conditionalFormatting sqref="J33">
    <cfRule type="containsText" dxfId="63" priority="1" operator="containsText" text="Fail">
      <formula>NOT(ISERROR(SEARCH("Fail",J33)))</formula>
    </cfRule>
    <cfRule type="containsText" dxfId="62" priority="2" operator="containsText" text="Pass">
      <formula>NOT(ISERROR(SEARCH("Pass",J33)))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
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83"/>
  <sheetViews>
    <sheetView showGridLines="0" showRuler="0" view="pageLayout" topLeftCell="A32" zoomScale="115" zoomScaleNormal="75" zoomScaleSheetLayoutView="85" zoomScalePageLayoutView="115" workbookViewId="0">
      <selection activeCell="L25" sqref="L25"/>
    </sheetView>
  </sheetViews>
  <sheetFormatPr baseColWidth="10" defaultRowHeight="12.75" x14ac:dyDescent="0.2"/>
  <cols>
    <col min="1" max="1" width="2.5703125" customWidth="1"/>
    <col min="2" max="18" width="9.140625" customWidth="1"/>
  </cols>
  <sheetData>
    <row r="1" spans="2:11" x14ac:dyDescent="0.2">
      <c r="B1" s="182"/>
    </row>
    <row r="3" spans="2:11" x14ac:dyDescent="0.2">
      <c r="B3" s="182"/>
      <c r="C3" s="182"/>
    </row>
    <row r="4" spans="2:11" x14ac:dyDescent="0.2">
      <c r="C4" s="59"/>
    </row>
    <row r="5" spans="2:11" ht="15.75" x14ac:dyDescent="0.25">
      <c r="B5" s="183" t="str">
        <f>U1_Forside!E48</f>
        <v>4.2 Vegg-AEC, Autom. eksponeringskontroll</v>
      </c>
      <c r="C5" s="59"/>
      <c r="D5" s="59"/>
      <c r="E5" s="59"/>
      <c r="F5" s="59"/>
      <c r="K5" s="183"/>
    </row>
    <row r="6" spans="2:11" x14ac:dyDescent="0.2">
      <c r="B6" s="59" t="s">
        <v>447</v>
      </c>
    </row>
    <row r="7" spans="2:11" x14ac:dyDescent="0.2">
      <c r="B7" s="59" t="s">
        <v>422</v>
      </c>
    </row>
    <row r="8" spans="2:11" x14ac:dyDescent="0.2">
      <c r="B8" s="59" t="s">
        <v>446</v>
      </c>
      <c r="E8" s="59"/>
    </row>
    <row r="10" spans="2:11" x14ac:dyDescent="0.2">
      <c r="B10" s="258" t="str">
        <f>Målinger!N72</f>
        <v>Innstillinger</v>
      </c>
    </row>
    <row r="11" spans="2:11" x14ac:dyDescent="0.2">
      <c r="B11" s="56" t="str">
        <f>Målinger!N73</f>
        <v>Program</v>
      </c>
      <c r="C11" s="56" t="str">
        <f>Målinger!O73</f>
        <v>FFA</v>
      </c>
      <c r="D11" s="56" t="str">
        <f>Målinger!P73</f>
        <v>FPA</v>
      </c>
      <c r="E11" s="56" t="str">
        <f>Målinger!Q73</f>
        <v>ms v/1 Cu</v>
      </c>
      <c r="F11" s="56" t="str">
        <f>Målinger!R73</f>
        <v>ms v/2 Cu</v>
      </c>
    </row>
    <row r="12" spans="2:11" x14ac:dyDescent="0.2">
      <c r="B12" s="56" t="str">
        <f>IF(Målinger!N74="","",Målinger!N74)</f>
        <v>Fysiker</v>
      </c>
      <c r="C12" s="56">
        <f>IF(Målinger!O74="","",Målinger!O74)</f>
        <v>110</v>
      </c>
      <c r="D12" s="56">
        <f>IF(Målinger!P74="","",Målinger!P74)</f>
        <v>103</v>
      </c>
      <c r="E12" s="302">
        <f>IF(Målinger!Q74="","",Målinger!Q74)</f>
        <v>0</v>
      </c>
      <c r="F12" s="302">
        <f>IF(Målinger!R74="","",Målinger!R74)</f>
        <v>0</v>
      </c>
    </row>
    <row r="14" spans="2:11" x14ac:dyDescent="0.2">
      <c r="B14" s="410" t="s">
        <v>218</v>
      </c>
      <c r="C14" s="411"/>
      <c r="D14" s="411"/>
      <c r="E14" s="411"/>
      <c r="F14" s="411"/>
    </row>
    <row r="15" spans="2:11" x14ac:dyDescent="0.2">
      <c r="H15" s="184" t="s">
        <v>219</v>
      </c>
      <c r="I15" s="189" t="str">
        <f>Målinger!J73</f>
        <v/>
      </c>
    </row>
    <row r="16" spans="2:11" x14ac:dyDescent="0.2">
      <c r="H16" s="184" t="s">
        <v>199</v>
      </c>
      <c r="I16" s="189" t="str">
        <f>Målinger!J74</f>
        <v/>
      </c>
    </row>
    <row r="17" spans="1:10" ht="13.5" thickBot="1" x14ac:dyDescent="0.25">
      <c r="H17" s="184" t="s">
        <v>217</v>
      </c>
      <c r="I17" s="409" t="str">
        <f>Målinger!J75</f>
        <v/>
      </c>
      <c r="J17" s="396" t="str">
        <f>Målinger!J76</f>
        <v/>
      </c>
    </row>
    <row r="18" spans="1:10" ht="13.5" thickBot="1" x14ac:dyDescent="0.25">
      <c r="B18" s="397" t="s">
        <v>156</v>
      </c>
      <c r="C18" s="398"/>
      <c r="D18" s="417"/>
      <c r="E18" s="417"/>
      <c r="F18" s="398"/>
      <c r="G18" s="398"/>
      <c r="H18" s="398"/>
      <c r="I18" s="398"/>
      <c r="J18" s="399"/>
    </row>
    <row r="20" spans="1:10" x14ac:dyDescent="0.2">
      <c r="B20" s="410" t="s">
        <v>41</v>
      </c>
      <c r="C20" s="411"/>
      <c r="D20" s="411"/>
      <c r="E20" s="411"/>
    </row>
    <row r="21" spans="1:10" x14ac:dyDescent="0.2">
      <c r="H21" s="184" t="s">
        <v>220</v>
      </c>
      <c r="I21" s="189" t="str">
        <f>Målinger!J87</f>
        <v/>
      </c>
    </row>
    <row r="22" spans="1:10" x14ac:dyDescent="0.2">
      <c r="H22" s="184" t="s">
        <v>221</v>
      </c>
      <c r="I22" s="190" t="str">
        <f>Målinger!J88</f>
        <v/>
      </c>
    </row>
    <row r="23" spans="1:10" x14ac:dyDescent="0.2">
      <c r="H23" s="184" t="s">
        <v>222</v>
      </c>
      <c r="I23" s="190" t="str">
        <f>Målinger!J89</f>
        <v/>
      </c>
    </row>
    <row r="24" spans="1:10" x14ac:dyDescent="0.2">
      <c r="H24" s="184" t="s">
        <v>223</v>
      </c>
      <c r="I24" s="190" t="str">
        <f>Målinger!J90</f>
        <v/>
      </c>
    </row>
    <row r="25" spans="1:10" ht="13.5" thickBot="1" x14ac:dyDescent="0.25">
      <c r="H25" s="184" t="s">
        <v>224</v>
      </c>
      <c r="I25" s="190" t="str">
        <f>Målinger!J92</f>
        <v/>
      </c>
      <c r="J25" s="56" t="str">
        <f>Målinger!J93</f>
        <v/>
      </c>
    </row>
    <row r="26" spans="1:10" ht="13.5" thickBot="1" x14ac:dyDescent="0.25">
      <c r="B26" s="397" t="s">
        <v>156</v>
      </c>
      <c r="C26" s="398"/>
      <c r="D26" s="398"/>
      <c r="E26" s="398"/>
      <c r="F26" s="398"/>
      <c r="G26" s="398"/>
      <c r="H26" s="398"/>
      <c r="I26" s="398"/>
      <c r="J26" s="399"/>
    </row>
    <row r="27" spans="1:10" x14ac:dyDescent="0.2">
      <c r="A27" s="198"/>
    </row>
    <row r="28" spans="1:10" x14ac:dyDescent="0.2">
      <c r="A28" s="198"/>
      <c r="B28" s="410" t="s">
        <v>225</v>
      </c>
      <c r="C28" s="411"/>
      <c r="D28" s="411"/>
      <c r="E28" s="411"/>
      <c r="F28" s="411"/>
    </row>
    <row r="29" spans="1:10" x14ac:dyDescent="0.2">
      <c r="A29" s="198"/>
      <c r="B29" s="53"/>
      <c r="C29" s="274"/>
      <c r="E29" s="11"/>
      <c r="F29" s="11" t="str">
        <f>Målinger!P52</f>
        <v>1 mmCu</v>
      </c>
      <c r="G29" s="11" t="str">
        <f>Målinger!Q52</f>
        <v>2 mmCu</v>
      </c>
      <c r="H29" s="11" t="str">
        <f>Målinger!R52</f>
        <v>Snitt</v>
      </c>
      <c r="I29" s="11" t="str">
        <f>Målinger!S52</f>
        <v>% Avvik</v>
      </c>
    </row>
    <row r="30" spans="1:10" x14ac:dyDescent="0.2">
      <c r="A30" s="198"/>
      <c r="C30" s="274"/>
      <c r="D30" s="274"/>
      <c r="E30" s="184" t="s">
        <v>227</v>
      </c>
      <c r="F30" s="189" t="str">
        <f>Målinger!P80</f>
        <v/>
      </c>
      <c r="G30" s="189" t="str">
        <f>Målinger!Q80</f>
        <v/>
      </c>
      <c r="H30" s="189" t="str">
        <f>Målinger!R80</f>
        <v/>
      </c>
      <c r="I30" s="190" t="str">
        <f>Målinger!S80</f>
        <v/>
      </c>
    </row>
    <row r="31" spans="1:10" ht="13.5" customHeight="1" x14ac:dyDescent="0.2">
      <c r="A31" s="198"/>
      <c r="B31" s="53"/>
      <c r="C31" s="274"/>
      <c r="D31" s="274"/>
      <c r="E31" s="184" t="s">
        <v>228</v>
      </c>
      <c r="F31" s="189" t="str">
        <f>Målinger!P81</f>
        <v/>
      </c>
      <c r="G31" s="189" t="str">
        <f>Målinger!Q81</f>
        <v/>
      </c>
      <c r="H31" s="189" t="str">
        <f>Målinger!R81</f>
        <v/>
      </c>
      <c r="I31" s="190" t="str">
        <f>Målinger!S81</f>
        <v/>
      </c>
      <c r="J31" s="274"/>
    </row>
    <row r="32" spans="1:10" x14ac:dyDescent="0.2">
      <c r="A32" s="198"/>
      <c r="B32" s="197"/>
      <c r="C32" s="274"/>
      <c r="D32" s="274"/>
      <c r="E32" s="184" t="s">
        <v>229</v>
      </c>
      <c r="F32" s="189" t="str">
        <f>Målinger!P82</f>
        <v/>
      </c>
      <c r="G32" s="189" t="str">
        <f>Målinger!Q82</f>
        <v/>
      </c>
      <c r="H32" s="189" t="str">
        <f>Målinger!R82</f>
        <v/>
      </c>
      <c r="I32" s="190" t="str">
        <f>Målinger!S82</f>
        <v/>
      </c>
      <c r="J32" s="274"/>
    </row>
    <row r="33" spans="1:13" x14ac:dyDescent="0.2">
      <c r="A33" s="198"/>
      <c r="B33" s="197"/>
      <c r="C33" s="274"/>
      <c r="D33" s="273"/>
      <c r="E33" s="11"/>
      <c r="F33" s="11"/>
      <c r="G33" s="11"/>
      <c r="H33" s="184" t="s">
        <v>230</v>
      </c>
      <c r="I33" s="190" t="str">
        <f>Målinger!S83</f>
        <v/>
      </c>
      <c r="J33" s="56" t="str">
        <f>Målinger!S84</f>
        <v/>
      </c>
    </row>
    <row r="34" spans="1:13" ht="14.25" customHeight="1" x14ac:dyDescent="0.2">
      <c r="A34" s="198"/>
      <c r="B34" s="197"/>
      <c r="C34" s="274"/>
      <c r="D34" s="273"/>
      <c r="E34" s="11"/>
      <c r="F34" s="11"/>
      <c r="G34" s="11"/>
      <c r="H34" s="11"/>
      <c r="J34" s="274"/>
      <c r="M34" s="59"/>
    </row>
    <row r="35" spans="1:13" x14ac:dyDescent="0.2">
      <c r="A35" s="198"/>
      <c r="B35" s="410" t="s">
        <v>445</v>
      </c>
      <c r="C35" s="412"/>
      <c r="D35" s="413"/>
      <c r="E35" s="414"/>
      <c r="F35" s="414"/>
      <c r="G35" s="414"/>
      <c r="H35" s="414"/>
      <c r="J35" s="197"/>
    </row>
    <row r="36" spans="1:13" x14ac:dyDescent="0.2">
      <c r="A36" s="198"/>
      <c r="B36" s="59"/>
      <c r="C36" s="274"/>
      <c r="D36" s="274"/>
      <c r="E36" s="11"/>
      <c r="F36" s="11"/>
      <c r="G36" s="11"/>
      <c r="H36" s="11" t="str">
        <f>Målinger!I79</f>
        <v>Innstilling</v>
      </c>
      <c r="I36" s="318" t="str">
        <f>Målinger!J79</f>
        <v>% endring fra "0"</v>
      </c>
      <c r="J36" s="197"/>
    </row>
    <row r="37" spans="1:13" x14ac:dyDescent="0.2">
      <c r="A37" s="198"/>
      <c r="B37" s="59"/>
      <c r="C37" s="274"/>
      <c r="D37" s="274"/>
      <c r="E37" s="11"/>
      <c r="F37" s="11"/>
      <c r="G37" s="11"/>
      <c r="H37" s="188" t="str">
        <f>Målinger!I80</f>
        <v>"+2"</v>
      </c>
      <c r="I37" s="190" t="str">
        <f>Målinger!J80</f>
        <v/>
      </c>
      <c r="J37" s="274"/>
    </row>
    <row r="38" spans="1:13" x14ac:dyDescent="0.2">
      <c r="A38" s="198"/>
      <c r="B38" s="59"/>
      <c r="C38" s="274"/>
      <c r="D38" s="274"/>
      <c r="E38" s="11"/>
      <c r="F38" s="11"/>
      <c r="G38" s="11"/>
      <c r="H38" s="188" t="str">
        <f>Målinger!I81</f>
        <v>"+1"</v>
      </c>
      <c r="I38" s="190" t="str">
        <f>Målinger!J81</f>
        <v/>
      </c>
      <c r="J38" s="274"/>
    </row>
    <row r="39" spans="1:13" x14ac:dyDescent="0.2">
      <c r="A39" s="198"/>
      <c r="B39" s="59"/>
      <c r="C39" s="274"/>
      <c r="D39" s="274"/>
      <c r="E39" s="11"/>
      <c r="F39" s="11"/>
      <c r="G39" s="11"/>
      <c r="H39" s="188" t="str">
        <f>Målinger!I82</f>
        <v>"-1"</v>
      </c>
      <c r="I39" s="190" t="str">
        <f>Målinger!J82</f>
        <v/>
      </c>
      <c r="J39" s="274"/>
    </row>
    <row r="40" spans="1:13" ht="13.5" thickBot="1" x14ac:dyDescent="0.25">
      <c r="A40" s="198"/>
      <c r="C40" s="274"/>
      <c r="D40" s="274"/>
      <c r="E40" s="11"/>
      <c r="F40" s="11"/>
      <c r="G40" s="11"/>
      <c r="H40" s="330" t="str">
        <f>Målinger!I83</f>
        <v>"-2"</v>
      </c>
      <c r="I40" s="372" t="str">
        <f>Målinger!J83</f>
        <v/>
      </c>
      <c r="J40" s="274"/>
    </row>
    <row r="41" spans="1:13" x14ac:dyDescent="0.2">
      <c r="A41" s="198"/>
      <c r="B41" s="400" t="s">
        <v>156</v>
      </c>
      <c r="C41" s="401"/>
      <c r="D41" s="402"/>
      <c r="E41" s="401"/>
      <c r="F41" s="403"/>
      <c r="G41" s="403"/>
      <c r="H41" s="403"/>
      <c r="I41" s="403"/>
      <c r="J41" s="404"/>
    </row>
    <row r="42" spans="1:13" ht="13.5" thickBot="1" x14ac:dyDescent="0.25">
      <c r="A42" s="198"/>
      <c r="B42" s="405"/>
      <c r="C42" s="406"/>
      <c r="D42" s="423"/>
      <c r="E42" s="407"/>
      <c r="F42" s="407"/>
      <c r="G42" s="407"/>
      <c r="H42" s="407"/>
      <c r="I42" s="407"/>
      <c r="J42" s="408"/>
    </row>
    <row r="43" spans="1:13" x14ac:dyDescent="0.2">
      <c r="A43" s="198"/>
      <c r="B43" s="410" t="s">
        <v>234</v>
      </c>
      <c r="C43" s="412"/>
      <c r="D43" s="412"/>
      <c r="E43" s="414"/>
      <c r="F43" s="414"/>
      <c r="G43" s="414"/>
      <c r="H43" s="414"/>
      <c r="I43" s="411"/>
      <c r="J43" s="412"/>
    </row>
    <row r="44" spans="1:13" x14ac:dyDescent="0.2">
      <c r="A44" s="198"/>
      <c r="C44" s="274"/>
      <c r="D44" s="274"/>
      <c r="E44" s="305"/>
      <c r="F44" s="305"/>
      <c r="G44" s="11"/>
      <c r="H44" s="58" t="str">
        <f>Målinger!N88</f>
        <v>kV</v>
      </c>
      <c r="I44" s="58" t="str">
        <f>Målinger!O88</f>
        <v>Dose (µGy)</v>
      </c>
      <c r="J44" s="275"/>
    </row>
    <row r="45" spans="1:13" x14ac:dyDescent="0.2">
      <c r="A45" s="198"/>
      <c r="C45" s="274"/>
      <c r="D45" s="274"/>
      <c r="E45" s="305"/>
      <c r="F45" s="305"/>
      <c r="G45" s="305"/>
      <c r="H45" s="256">
        <f>Målinger!N89</f>
        <v>73</v>
      </c>
      <c r="I45" s="302" t="str">
        <f>Målinger!O89</f>
        <v/>
      </c>
      <c r="J45" s="274"/>
    </row>
    <row r="46" spans="1:13" x14ac:dyDescent="0.2">
      <c r="A46" s="198"/>
      <c r="C46" s="274"/>
      <c r="D46" s="274"/>
      <c r="E46" s="274"/>
      <c r="F46" s="274"/>
      <c r="G46" s="274"/>
      <c r="H46" s="256">
        <f>Målinger!N90</f>
        <v>90</v>
      </c>
      <c r="I46" s="302" t="str">
        <f>Målinger!O90</f>
        <v/>
      </c>
      <c r="J46" s="197"/>
    </row>
    <row r="47" spans="1:13" x14ac:dyDescent="0.2">
      <c r="A47" s="198"/>
      <c r="C47" s="274"/>
      <c r="D47" s="274"/>
      <c r="E47" s="274"/>
      <c r="F47" s="274"/>
      <c r="G47" s="274"/>
      <c r="H47" s="256">
        <f>Målinger!N91</f>
        <v>109</v>
      </c>
      <c r="I47" s="302" t="str">
        <f>Målinger!O91</f>
        <v/>
      </c>
      <c r="J47" s="197"/>
      <c r="K47" s="59"/>
    </row>
    <row r="48" spans="1:13" x14ac:dyDescent="0.2">
      <c r="A48" s="198"/>
      <c r="C48" s="274"/>
      <c r="D48" s="274"/>
      <c r="E48" s="316"/>
      <c r="F48" s="316"/>
      <c r="G48" s="266"/>
      <c r="H48" s="256">
        <f>Målinger!N92</f>
        <v>117</v>
      </c>
      <c r="I48" s="302" t="str">
        <f>Målinger!O92</f>
        <v/>
      </c>
      <c r="J48" s="197"/>
      <c r="K48" s="59"/>
    </row>
    <row r="49" spans="1:11" x14ac:dyDescent="0.2">
      <c r="A49" s="198"/>
      <c r="C49" s="274"/>
      <c r="D49" s="274"/>
      <c r="E49" s="274"/>
      <c r="F49" s="274"/>
      <c r="G49" s="266"/>
      <c r="H49" s="58"/>
      <c r="I49" s="58"/>
      <c r="J49" s="197"/>
      <c r="K49" s="59"/>
    </row>
    <row r="50" spans="1:11" x14ac:dyDescent="0.2">
      <c r="A50" s="198"/>
      <c r="C50" s="274"/>
      <c r="D50" s="274"/>
      <c r="E50" s="274"/>
      <c r="F50" s="274"/>
      <c r="G50" s="274"/>
      <c r="H50" s="58"/>
      <c r="I50" s="58"/>
      <c r="J50" s="275"/>
      <c r="K50" s="59"/>
    </row>
    <row r="51" spans="1:11" x14ac:dyDescent="0.2">
      <c r="A51" s="198"/>
      <c r="B51" s="278"/>
      <c r="C51" s="249"/>
      <c r="D51" s="197"/>
      <c r="E51" s="197"/>
      <c r="F51" s="197"/>
      <c r="G51" s="249"/>
      <c r="H51" s="276"/>
      <c r="I51" s="276"/>
      <c r="J51" s="197"/>
      <c r="K51" s="59"/>
    </row>
    <row r="52" spans="1:11" x14ac:dyDescent="0.2">
      <c r="A52" s="198"/>
      <c r="B52" s="278"/>
      <c r="C52" s="249"/>
      <c r="D52" s="197"/>
      <c r="E52" s="197"/>
      <c r="F52" s="197"/>
      <c r="G52" s="249"/>
      <c r="H52" s="276"/>
      <c r="I52" s="276"/>
      <c r="J52" s="197"/>
      <c r="K52" s="59"/>
    </row>
    <row r="53" spans="1:11" ht="15.75" x14ac:dyDescent="0.25">
      <c r="A53" s="198"/>
      <c r="B53" s="280"/>
      <c r="C53" s="249"/>
      <c r="D53" s="197"/>
      <c r="E53" s="197"/>
      <c r="F53" s="197"/>
      <c r="G53" s="249"/>
      <c r="H53" s="276"/>
      <c r="I53" s="276"/>
      <c r="J53" s="197"/>
      <c r="K53" s="59"/>
    </row>
    <row r="54" spans="1:11" x14ac:dyDescent="0.2">
      <c r="A54" s="198"/>
      <c r="B54" s="197"/>
      <c r="C54" s="249"/>
      <c r="D54" s="197"/>
      <c r="E54" s="197"/>
      <c r="F54" s="197"/>
      <c r="G54" s="249"/>
      <c r="H54" s="276"/>
      <c r="I54" s="276"/>
      <c r="J54" s="251"/>
      <c r="K54" s="59"/>
    </row>
    <row r="55" spans="1:11" x14ac:dyDescent="0.2">
      <c r="A55" s="198"/>
      <c r="B55" s="53"/>
      <c r="C55" s="274"/>
      <c r="D55" s="273"/>
      <c r="E55" s="274"/>
      <c r="F55" s="53"/>
      <c r="G55" s="266"/>
      <c r="H55" s="309"/>
      <c r="I55" s="309"/>
      <c r="J55" s="251"/>
      <c r="K55" s="59"/>
    </row>
    <row r="56" spans="1:11" x14ac:dyDescent="0.2">
      <c r="A56" s="198"/>
      <c r="B56" s="53"/>
      <c r="C56" s="274"/>
      <c r="D56" s="273"/>
      <c r="E56" s="274"/>
      <c r="F56" s="274"/>
      <c r="G56" s="266"/>
      <c r="H56" s="54"/>
      <c r="I56" s="54"/>
      <c r="J56" s="251"/>
      <c r="K56" s="59"/>
    </row>
    <row r="57" spans="1:11" x14ac:dyDescent="0.2">
      <c r="A57" s="198"/>
      <c r="B57" s="622" t="s">
        <v>380</v>
      </c>
      <c r="C57" s="620"/>
      <c r="D57" s="620"/>
      <c r="E57" s="56"/>
      <c r="H57" s="54"/>
      <c r="I57" s="54"/>
      <c r="J57" s="275"/>
      <c r="K57" s="59"/>
    </row>
    <row r="58" spans="1:11" x14ac:dyDescent="0.2">
      <c r="A58" s="198"/>
      <c r="B58" s="622" t="s">
        <v>397</v>
      </c>
      <c r="C58" s="412"/>
      <c r="D58" s="667"/>
      <c r="E58" s="56" t="str">
        <f>Målinger!AI92</f>
        <v/>
      </c>
      <c r="H58" s="275"/>
      <c r="I58" s="275"/>
      <c r="J58" s="54"/>
      <c r="K58" s="59"/>
    </row>
    <row r="59" spans="1:11" ht="13.5" thickBot="1" x14ac:dyDescent="0.25">
      <c r="A59" s="198"/>
      <c r="G59" s="58"/>
      <c r="H59" s="58"/>
      <c r="I59" s="58"/>
      <c r="J59" s="54"/>
      <c r="K59" s="59"/>
    </row>
    <row r="60" spans="1:11" ht="13.5" thickBot="1" x14ac:dyDescent="0.25">
      <c r="A60" s="198"/>
      <c r="B60" s="397" t="s">
        <v>156</v>
      </c>
      <c r="C60" s="398"/>
      <c r="D60" s="398"/>
      <c r="E60" s="417"/>
      <c r="F60" s="417"/>
      <c r="G60" s="398"/>
      <c r="H60" s="398"/>
      <c r="I60" s="398"/>
      <c r="J60" s="399"/>
    </row>
    <row r="61" spans="1:11" x14ac:dyDescent="0.2">
      <c r="A61" s="198"/>
      <c r="B61" s="53"/>
      <c r="C61" s="53"/>
      <c r="D61" s="54"/>
      <c r="E61" s="54"/>
      <c r="F61" s="58"/>
      <c r="G61" s="58"/>
      <c r="H61" s="58"/>
      <c r="I61" s="58"/>
      <c r="J61" s="54"/>
    </row>
    <row r="62" spans="1:11" x14ac:dyDescent="0.2">
      <c r="A62" s="198"/>
      <c r="B62" s="53"/>
      <c r="C62" s="53"/>
      <c r="D62" s="54"/>
      <c r="E62" s="54"/>
      <c r="F62" s="58"/>
      <c r="G62" s="269"/>
      <c r="H62" s="272"/>
      <c r="I62" s="272"/>
      <c r="J62" s="54"/>
    </row>
    <row r="63" spans="1:11" x14ac:dyDescent="0.2">
      <c r="A63" s="198"/>
      <c r="B63" s="53"/>
      <c r="C63" s="53"/>
      <c r="D63" s="54"/>
      <c r="E63" s="54"/>
      <c r="F63" s="58"/>
      <c r="G63" s="58"/>
      <c r="H63" s="54"/>
      <c r="I63" s="54"/>
      <c r="J63" s="54"/>
    </row>
    <row r="64" spans="1:11" x14ac:dyDescent="0.2">
      <c r="A64" s="198"/>
      <c r="B64" s="197"/>
      <c r="C64" s="197"/>
      <c r="D64" s="197"/>
      <c r="E64" s="197"/>
      <c r="F64" s="197"/>
      <c r="G64" s="197"/>
      <c r="H64" s="54"/>
      <c r="I64" s="54"/>
      <c r="J64" s="275"/>
    </row>
    <row r="65" spans="1:10" x14ac:dyDescent="0.2">
      <c r="A65" s="198"/>
      <c r="B65" s="252"/>
      <c r="C65" s="197"/>
      <c r="D65" s="197"/>
      <c r="E65" s="197"/>
      <c r="F65" s="197"/>
      <c r="G65" s="197"/>
      <c r="H65" s="197"/>
      <c r="I65" s="197"/>
      <c r="J65" s="197"/>
    </row>
    <row r="66" spans="1:10" x14ac:dyDescent="0.2">
      <c r="A66" s="198"/>
      <c r="B66" s="197"/>
      <c r="C66" s="197"/>
      <c r="D66" s="197"/>
      <c r="E66" s="197"/>
      <c r="F66" s="197"/>
      <c r="G66" s="197"/>
      <c r="H66" s="197"/>
      <c r="I66" s="197"/>
      <c r="J66" s="197"/>
    </row>
    <row r="67" spans="1:10" x14ac:dyDescent="0.2">
      <c r="A67" s="198"/>
      <c r="B67" s="198"/>
      <c r="C67" s="198"/>
      <c r="D67" s="198"/>
      <c r="E67" s="198"/>
      <c r="F67" s="198"/>
      <c r="G67" s="198"/>
      <c r="H67" s="198"/>
      <c r="I67" s="198"/>
      <c r="J67" s="197"/>
    </row>
    <row r="68" spans="1:10" x14ac:dyDescent="0.2">
      <c r="A68" s="198"/>
      <c r="B68" s="198"/>
      <c r="C68" s="198"/>
      <c r="D68" s="198"/>
      <c r="E68" s="198"/>
      <c r="F68" s="198"/>
      <c r="G68" s="198"/>
      <c r="H68" s="198"/>
      <c r="I68" s="198"/>
      <c r="J68" s="198"/>
    </row>
    <row r="69" spans="1:10" x14ac:dyDescent="0.2">
      <c r="A69" s="198"/>
      <c r="B69" s="198"/>
      <c r="C69" s="198"/>
      <c r="D69" s="198"/>
      <c r="E69" s="198"/>
      <c r="F69" s="198"/>
      <c r="G69" s="198"/>
      <c r="H69" s="198"/>
      <c r="I69" s="198"/>
      <c r="J69" s="198"/>
    </row>
    <row r="70" spans="1:10" x14ac:dyDescent="0.2">
      <c r="A70" s="198"/>
      <c r="B70" s="198"/>
      <c r="C70" s="198"/>
      <c r="D70" s="198"/>
      <c r="E70" s="198"/>
      <c r="F70" s="198"/>
      <c r="G70" s="198"/>
      <c r="H70" s="198"/>
      <c r="I70" s="198"/>
      <c r="J70" s="198"/>
    </row>
    <row r="71" spans="1:10" x14ac:dyDescent="0.2">
      <c r="A71" s="198"/>
      <c r="B71" s="198"/>
      <c r="C71" s="198"/>
      <c r="D71" s="198"/>
      <c r="E71" s="198"/>
      <c r="F71" s="198"/>
      <c r="G71" s="198"/>
      <c r="H71" s="198"/>
      <c r="I71" s="198"/>
      <c r="J71" s="198"/>
    </row>
    <row r="72" spans="1:10" x14ac:dyDescent="0.2">
      <c r="A72" s="198"/>
      <c r="B72" s="198"/>
      <c r="C72" s="198"/>
      <c r="D72" s="198"/>
      <c r="E72" s="198"/>
      <c r="F72" s="198"/>
      <c r="G72" s="198"/>
      <c r="H72" s="198"/>
      <c r="I72" s="198"/>
      <c r="J72" s="198"/>
    </row>
    <row r="73" spans="1:10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</row>
    <row r="74" spans="1:10" x14ac:dyDescent="0.2">
      <c r="A74" s="198"/>
      <c r="B74" s="198"/>
      <c r="C74" s="198"/>
      <c r="D74" s="198"/>
      <c r="E74" s="198"/>
      <c r="F74" s="198"/>
      <c r="G74" s="198"/>
      <c r="H74" s="198"/>
      <c r="I74" s="198"/>
      <c r="J74" s="198"/>
    </row>
    <row r="75" spans="1:10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</row>
    <row r="76" spans="1:10" x14ac:dyDescent="0.2">
      <c r="A76" s="198"/>
      <c r="B76" s="198"/>
      <c r="C76" s="198"/>
      <c r="D76" s="198"/>
      <c r="E76" s="198"/>
      <c r="F76" s="198"/>
      <c r="G76" s="198"/>
      <c r="H76" s="198"/>
      <c r="I76" s="198"/>
      <c r="J76" s="198"/>
    </row>
    <row r="77" spans="1:10" x14ac:dyDescent="0.2">
      <c r="A77" s="198"/>
      <c r="B77" s="198"/>
      <c r="C77" s="198"/>
      <c r="D77" s="198"/>
      <c r="E77" s="198"/>
      <c r="F77" s="198"/>
      <c r="G77" s="198"/>
      <c r="H77" s="198"/>
      <c r="I77" s="198"/>
      <c r="J77" s="198"/>
    </row>
    <row r="78" spans="1:10" x14ac:dyDescent="0.2">
      <c r="A78" s="198"/>
      <c r="B78" s="198"/>
      <c r="C78" s="198"/>
      <c r="D78" s="198"/>
      <c r="E78" s="198"/>
      <c r="F78" s="198"/>
      <c r="G78" s="198"/>
      <c r="H78" s="198"/>
      <c r="I78" s="198"/>
      <c r="J78" s="198"/>
    </row>
    <row r="79" spans="1:10" x14ac:dyDescent="0.2">
      <c r="A79" s="198"/>
      <c r="B79" s="198"/>
      <c r="C79" s="198"/>
      <c r="D79" s="198"/>
      <c r="E79" s="198"/>
      <c r="F79" s="198"/>
      <c r="G79" s="198"/>
      <c r="H79" s="198"/>
      <c r="I79" s="198"/>
      <c r="J79" s="198"/>
    </row>
    <row r="80" spans="1:10" x14ac:dyDescent="0.2">
      <c r="A80" s="198"/>
      <c r="B80" s="198"/>
      <c r="C80" s="198"/>
      <c r="D80" s="198"/>
      <c r="E80" s="198"/>
      <c r="F80" s="198"/>
      <c r="G80" s="198"/>
      <c r="H80" s="198"/>
      <c r="I80" s="198"/>
      <c r="J80" s="198"/>
    </row>
    <row r="81" spans="2:10" x14ac:dyDescent="0.2">
      <c r="B81" s="198"/>
      <c r="C81" s="198"/>
      <c r="D81" s="198"/>
      <c r="E81" s="198"/>
      <c r="F81" s="198"/>
      <c r="G81" s="198"/>
      <c r="H81" s="198"/>
      <c r="I81" s="198"/>
      <c r="J81" s="198"/>
    </row>
    <row r="82" spans="2:10" x14ac:dyDescent="0.2">
      <c r="B82" s="187"/>
      <c r="J82" s="198"/>
    </row>
    <row r="83" spans="2:10" x14ac:dyDescent="0.2">
      <c r="C83" s="187"/>
    </row>
  </sheetData>
  <conditionalFormatting sqref="J61:J63 J58:J59">
    <cfRule type="containsText" dxfId="61" priority="23" operator="containsText" text="Fail">
      <formula>NOT(ISERROR(SEARCH("Fail",J58)))</formula>
    </cfRule>
    <cfRule type="containsText" dxfId="60" priority="24" operator="containsText" text="Pass">
      <formula>NOT(ISERROR(SEARCH("Pass",J58)))</formula>
    </cfRule>
  </conditionalFormatting>
  <conditionalFormatting sqref="H63:I63">
    <cfRule type="containsText" dxfId="59" priority="21" operator="containsText" text="Fail">
      <formula>NOT(ISERROR(SEARCH("Fail",H63)))</formula>
    </cfRule>
    <cfRule type="containsText" dxfId="58" priority="22" operator="containsText" text="Pass">
      <formula>NOT(ISERROR(SEARCH("Pass",H63)))</formula>
    </cfRule>
  </conditionalFormatting>
  <conditionalFormatting sqref="J54">
    <cfRule type="containsText" dxfId="57" priority="17" operator="containsText" text="Fail">
      <formula>NOT(ISERROR(SEARCH("Fail",J54)))</formula>
    </cfRule>
    <cfRule type="containsText" dxfId="56" priority="18" operator="containsText" text="Pass">
      <formula>NOT(ISERROR(SEARCH("Pass",J54)))</formula>
    </cfRule>
  </conditionalFormatting>
  <conditionalFormatting sqref="J55:J56">
    <cfRule type="containsText" dxfId="55" priority="15" operator="containsText" text="Fail">
      <formula>NOT(ISERROR(SEARCH("Fail",J55)))</formula>
    </cfRule>
    <cfRule type="containsText" dxfId="54" priority="16" operator="containsText" text="Pass">
      <formula>NOT(ISERROR(SEARCH("Pass",J55)))</formula>
    </cfRule>
  </conditionalFormatting>
  <conditionalFormatting sqref="J64">
    <cfRule type="containsText" dxfId="53" priority="19" operator="containsText" text="Fail">
      <formula>NOT(ISERROR(SEARCH("Fail",J64)))</formula>
    </cfRule>
    <cfRule type="containsText" dxfId="52" priority="20" operator="containsText" text="Pass">
      <formula>NOT(ISERROR(SEARCH("Pass",J64)))</formula>
    </cfRule>
  </conditionalFormatting>
  <conditionalFormatting sqref="J50">
    <cfRule type="containsText" dxfId="51" priority="11" operator="containsText" text="Fail">
      <formula>NOT(ISERROR(SEARCH("Fail",J50)))</formula>
    </cfRule>
    <cfRule type="containsText" dxfId="50" priority="12" operator="containsText" text="Pass">
      <formula>NOT(ISERROR(SEARCH("Pass",J50)))</formula>
    </cfRule>
  </conditionalFormatting>
  <conditionalFormatting sqref="J44">
    <cfRule type="containsText" dxfId="49" priority="13" operator="containsText" text="Fail">
      <formula>NOT(ISERROR(SEARCH("Fail",J44)))</formula>
    </cfRule>
    <cfRule type="containsText" dxfId="48" priority="14" operator="containsText" text="Pass">
      <formula>NOT(ISERROR(SEARCH("Pass",J44)))</formula>
    </cfRule>
  </conditionalFormatting>
  <conditionalFormatting sqref="J57">
    <cfRule type="containsText" dxfId="47" priority="9" operator="containsText" text="Fail">
      <formula>NOT(ISERROR(SEARCH("Fail",J57)))</formula>
    </cfRule>
    <cfRule type="containsText" dxfId="46" priority="10" operator="containsText" text="Pass">
      <formula>NOT(ISERROR(SEARCH("Pass",J57)))</formula>
    </cfRule>
  </conditionalFormatting>
  <conditionalFormatting sqref="H56:I56">
    <cfRule type="containsText" dxfId="45" priority="7" operator="containsText" text="Fail">
      <formula>NOT(ISERROR(SEARCH("Fail",H56)))</formula>
    </cfRule>
    <cfRule type="containsText" dxfId="44" priority="8" operator="containsText" text="Pass">
      <formula>NOT(ISERROR(SEARCH("Pass",H56)))</formula>
    </cfRule>
  </conditionalFormatting>
  <conditionalFormatting sqref="J17">
    <cfRule type="containsText" dxfId="43" priority="5" operator="containsText" text="Fail">
      <formula>NOT(ISERROR(SEARCH("Fail",J17)))</formula>
    </cfRule>
    <cfRule type="containsText" dxfId="42" priority="6" operator="containsText" text="Pass">
      <formula>NOT(ISERROR(SEARCH("Pass",J17)))</formula>
    </cfRule>
  </conditionalFormatting>
  <conditionalFormatting sqref="J25">
    <cfRule type="containsText" dxfId="41" priority="3" operator="containsText" text="Fail">
      <formula>NOT(ISERROR(SEARCH("Fail",J25)))</formula>
    </cfRule>
    <cfRule type="containsText" dxfId="40" priority="4" operator="containsText" text="Pass">
      <formula>NOT(ISERROR(SEARCH("Pass",J25)))</formula>
    </cfRule>
  </conditionalFormatting>
  <conditionalFormatting sqref="J33">
    <cfRule type="containsText" dxfId="39" priority="1" operator="containsText" text="Fail">
      <formula>NOT(ISERROR(SEARCH("Fail",J33)))</formula>
    </cfRule>
    <cfRule type="containsText" dxfId="38" priority="2" operator="containsText" text="Pass">
      <formula>NOT(ISERROR(SEARCH("Pass",J33)))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
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81"/>
  <sheetViews>
    <sheetView showGridLines="0" showRuler="0" view="pageLayout" zoomScaleNormal="75" zoomScaleSheetLayoutView="90" workbookViewId="0">
      <selection activeCell="I53" sqref="I53"/>
    </sheetView>
  </sheetViews>
  <sheetFormatPr baseColWidth="10" defaultRowHeight="12.75" x14ac:dyDescent="0.2"/>
  <cols>
    <col min="1" max="1" width="2.5703125" customWidth="1"/>
    <col min="2" max="3" width="9.140625" customWidth="1"/>
    <col min="4" max="4" width="9.5703125" customWidth="1"/>
    <col min="5" max="10" width="9.140625" customWidth="1"/>
    <col min="11" max="11" width="10.7109375" customWidth="1"/>
    <col min="12" max="18" width="9.140625" customWidth="1"/>
  </cols>
  <sheetData>
    <row r="1" spans="1:11" x14ac:dyDescent="0.2">
      <c r="B1" s="182"/>
    </row>
    <row r="2" spans="1:11" ht="15.75" x14ac:dyDescent="0.25">
      <c r="B2" s="183" t="str">
        <f>U1_Forside!E49</f>
        <v>5. Bildekvalitet</v>
      </c>
    </row>
    <row r="3" spans="1:11" x14ac:dyDescent="0.2">
      <c r="B3" s="706" t="s">
        <v>500</v>
      </c>
      <c r="C3" s="182"/>
      <c r="D3" s="517"/>
      <c r="E3" s="517"/>
      <c r="F3" s="517"/>
      <c r="G3" s="517"/>
      <c r="H3" s="517"/>
      <c r="I3" s="517"/>
      <c r="J3" s="517"/>
    </row>
    <row r="4" spans="1:11" x14ac:dyDescent="0.2">
      <c r="B4" s="706" t="s">
        <v>501</v>
      </c>
      <c r="C4" s="59"/>
      <c r="D4" s="517"/>
      <c r="E4" s="517"/>
      <c r="F4" s="517"/>
      <c r="G4" s="517"/>
      <c r="H4" s="517"/>
      <c r="I4" s="517"/>
      <c r="J4" s="517"/>
    </row>
    <row r="5" spans="1:11" ht="15.75" x14ac:dyDescent="0.25">
      <c r="B5" s="706" t="s">
        <v>449</v>
      </c>
      <c r="C5" s="59"/>
      <c r="D5" s="59"/>
      <c r="E5" s="59"/>
      <c r="F5" s="59"/>
      <c r="G5" s="517"/>
      <c r="H5" s="517"/>
      <c r="I5" s="517"/>
      <c r="J5" s="517"/>
      <c r="K5" s="183"/>
    </row>
    <row r="6" spans="1:11" x14ac:dyDescent="0.2">
      <c r="B6" s="706" t="s">
        <v>502</v>
      </c>
      <c r="C6" s="517"/>
      <c r="D6" s="517"/>
      <c r="E6" s="517"/>
      <c r="F6" s="517"/>
      <c r="G6" s="517"/>
      <c r="H6" s="517"/>
      <c r="I6" s="517"/>
      <c r="J6" s="517"/>
    </row>
    <row r="7" spans="1:11" x14ac:dyDescent="0.2">
      <c r="B7" s="706" t="s">
        <v>448</v>
      </c>
      <c r="C7" s="517"/>
      <c r="D7" s="517"/>
      <c r="E7" s="517"/>
      <c r="F7" s="517"/>
      <c r="G7" s="517"/>
      <c r="H7" s="517"/>
      <c r="I7" s="517"/>
      <c r="J7" s="517"/>
    </row>
    <row r="8" spans="1:11" x14ac:dyDescent="0.2">
      <c r="E8" s="59"/>
    </row>
    <row r="9" spans="1:11" x14ac:dyDescent="0.2">
      <c r="B9" s="317" t="str">
        <f>Målinger!C156</f>
        <v xml:space="preserve">BORDDETEKTOR </v>
      </c>
      <c r="D9" s="527" t="str">
        <f>IF(Målinger!D156="","",Målinger!D156)</f>
        <v/>
      </c>
      <c r="E9" s="328" t="str">
        <f>Målinger!I156</f>
        <v>Program:</v>
      </c>
      <c r="F9" s="328" t="str">
        <f>IF(Målinger!J156="","",Målinger!J156)</f>
        <v/>
      </c>
      <c r="H9" s="192" t="s">
        <v>87</v>
      </c>
      <c r="I9" s="11" t="str">
        <f>Målinger!F156</f>
        <v>FF</v>
      </c>
    </row>
    <row r="10" spans="1:11" x14ac:dyDescent="0.2">
      <c r="C10" s="706"/>
      <c r="D10" s="706"/>
      <c r="E10" s="707"/>
      <c r="F10" s="707"/>
      <c r="G10" s="329" t="s">
        <v>238</v>
      </c>
      <c r="H10" s="188" t="str">
        <f>IF(Målinger!E157="","",Målinger!E157)</f>
        <v/>
      </c>
      <c r="I10" s="188" t="str">
        <f>IF(Målinger!F157="","",Målinger!F157)</f>
        <v/>
      </c>
    </row>
    <row r="11" spans="1:11" x14ac:dyDescent="0.2">
      <c r="C11" s="706"/>
      <c r="D11" s="706"/>
      <c r="E11" s="707"/>
      <c r="F11" s="707"/>
      <c r="G11" s="329" t="s">
        <v>282</v>
      </c>
      <c r="H11" s="188" t="str">
        <f>IF(Målinger!E158="","",Målinger!E158)</f>
        <v/>
      </c>
      <c r="I11" s="188" t="str">
        <f>IF(Målinger!F158="","",Målinger!F158)</f>
        <v/>
      </c>
    </row>
    <row r="12" spans="1:11" x14ac:dyDescent="0.2">
      <c r="C12" s="706"/>
      <c r="D12" s="706"/>
      <c r="E12" s="707"/>
      <c r="F12" s="707"/>
      <c r="G12" s="329" t="s">
        <v>494</v>
      </c>
      <c r="H12" s="188" t="str">
        <f>IF(Målinger!E159="","",Målinger!E159)</f>
        <v/>
      </c>
      <c r="I12" s="188" t="str">
        <f>IF(Målinger!F159="","",Målinger!F159)</f>
        <v/>
      </c>
    </row>
    <row r="13" spans="1:11" x14ac:dyDescent="0.2">
      <c r="B13" s="59"/>
      <c r="C13" s="706"/>
      <c r="D13" s="706"/>
      <c r="E13" s="707"/>
      <c r="F13" s="707"/>
      <c r="G13" s="329" t="s">
        <v>240</v>
      </c>
      <c r="H13" s="188" t="str">
        <f>IF(Målinger!E160="","",Målinger!E160)</f>
        <v/>
      </c>
      <c r="I13" s="188" t="str">
        <f>IF(Målinger!F160="","",Målinger!F160)</f>
        <v/>
      </c>
    </row>
    <row r="14" spans="1:11" x14ac:dyDescent="0.2">
      <c r="B14" s="59"/>
      <c r="C14" s="706"/>
      <c r="D14" s="706"/>
      <c r="E14" s="707"/>
      <c r="F14" s="707"/>
      <c r="G14" s="329" t="s">
        <v>279</v>
      </c>
      <c r="H14" s="188" t="str">
        <f>IF(Målinger!E161="","",Målinger!E161)</f>
        <v/>
      </c>
      <c r="I14" s="188" t="str">
        <f>IF(Målinger!F161="","",Målinger!F161)</f>
        <v/>
      </c>
      <c r="J14" s="517"/>
    </row>
    <row r="15" spans="1:11" x14ac:dyDescent="0.2">
      <c r="C15" s="706"/>
      <c r="D15" s="706"/>
      <c r="E15" s="706"/>
      <c r="F15" s="706"/>
      <c r="G15" s="329" t="s">
        <v>489</v>
      </c>
      <c r="H15" s="188" t="str">
        <f>IF(Målinger!E162="","",Målinger!E162)</f>
        <v/>
      </c>
      <c r="I15" s="188" t="str">
        <f>IF(Målinger!F162="","",Målinger!F162)</f>
        <v/>
      </c>
    </row>
    <row r="16" spans="1:11" ht="13.5" thickBot="1" x14ac:dyDescent="0.25">
      <c r="A16" s="517"/>
      <c r="E16" s="198"/>
      <c r="F16" s="198"/>
      <c r="G16" s="198"/>
      <c r="H16" s="188" t="str">
        <f>IF(Målinger!E163="","",Målinger!E163)</f>
        <v/>
      </c>
      <c r="I16" s="188" t="str">
        <f>IF(Målinger!F163="","",Målinger!F163)</f>
        <v/>
      </c>
      <c r="J16" s="188" t="str">
        <f>IF(Målinger!G163="","",Målinger!G163)</f>
        <v/>
      </c>
    </row>
    <row r="17" spans="1:10" ht="13.5" thickBot="1" x14ac:dyDescent="0.25">
      <c r="B17" s="462" t="s">
        <v>283</v>
      </c>
      <c r="C17" s="835"/>
      <c r="D17" s="835"/>
      <c r="E17" s="835"/>
      <c r="F17" s="835"/>
      <c r="G17" s="835"/>
      <c r="H17" s="835"/>
      <c r="I17" s="835"/>
      <c r="J17" s="836"/>
    </row>
    <row r="18" spans="1:10" x14ac:dyDescent="0.2">
      <c r="B18" s="317" t="str">
        <f>Målinger!C164</f>
        <v xml:space="preserve">VEGGDETEKTOR </v>
      </c>
      <c r="D18" s="527" t="str">
        <f>IF(Målinger!D164="","",Målinger!D164)</f>
        <v/>
      </c>
      <c r="E18" s="329" t="str">
        <f>Målinger!I164</f>
        <v>Program:</v>
      </c>
      <c r="F18" s="328" t="str">
        <f>IF(Målinger!J164="","",Målinger!J164)</f>
        <v/>
      </c>
      <c r="H18" s="11" t="str">
        <f>Målinger!E164</f>
        <v>GF</v>
      </c>
      <c r="I18" s="11" t="str">
        <f>Målinger!F164</f>
        <v>FF</v>
      </c>
    </row>
    <row r="19" spans="1:10" x14ac:dyDescent="0.2">
      <c r="E19" s="198"/>
      <c r="F19" s="198"/>
      <c r="G19" s="329" t="s">
        <v>238</v>
      </c>
      <c r="H19" s="188" t="str">
        <f>IF(Målinger!E165="","",Målinger!E165)</f>
        <v/>
      </c>
      <c r="I19" s="188" t="str">
        <f>IF(Målinger!F165="","",Målinger!F165)</f>
        <v/>
      </c>
    </row>
    <row r="20" spans="1:10" x14ac:dyDescent="0.2">
      <c r="E20" s="198"/>
      <c r="F20" s="198"/>
      <c r="G20" s="329" t="s">
        <v>239</v>
      </c>
      <c r="H20" s="188" t="str">
        <f>IF(Målinger!E166="","",Målinger!E166)</f>
        <v/>
      </c>
      <c r="I20" s="188" t="str">
        <f>IF(Målinger!F166="","",Målinger!F166)</f>
        <v/>
      </c>
    </row>
    <row r="21" spans="1:10" x14ac:dyDescent="0.2">
      <c r="E21" s="198"/>
      <c r="F21" s="198"/>
      <c r="G21" s="329" t="s">
        <v>494</v>
      </c>
      <c r="H21" s="188" t="str">
        <f>IF(Målinger!E167="","",Målinger!E167)</f>
        <v/>
      </c>
      <c r="I21" s="188" t="str">
        <f>IF(Målinger!F167="","",Målinger!F167)</f>
        <v/>
      </c>
    </row>
    <row r="22" spans="1:10" x14ac:dyDescent="0.2">
      <c r="B22" s="59"/>
      <c r="E22" s="198"/>
      <c r="F22" s="198"/>
      <c r="G22" s="329" t="s">
        <v>240</v>
      </c>
      <c r="H22" s="188" t="str">
        <f>IF(Målinger!E168="","",Målinger!E168)</f>
        <v/>
      </c>
      <c r="I22" s="188" t="str">
        <f>IF(Målinger!F168="","",Målinger!F168)</f>
        <v/>
      </c>
    </row>
    <row r="23" spans="1:10" x14ac:dyDescent="0.2">
      <c r="B23" s="59"/>
      <c r="C23" s="517"/>
      <c r="D23" s="517"/>
      <c r="E23" s="198"/>
      <c r="F23" s="198"/>
      <c r="G23" s="329" t="s">
        <v>279</v>
      </c>
      <c r="H23" s="188" t="str">
        <f>IF(Målinger!E169="","",Målinger!E169)</f>
        <v/>
      </c>
      <c r="I23" s="188" t="str">
        <f>IF(Målinger!F169="","",Målinger!F169)</f>
        <v/>
      </c>
      <c r="J23" s="517"/>
    </row>
    <row r="24" spans="1:10" x14ac:dyDescent="0.2">
      <c r="A24" s="517"/>
      <c r="F24" s="517"/>
      <c r="G24" s="329" t="s">
        <v>489</v>
      </c>
      <c r="H24" s="188" t="str">
        <f>IF(Målinger!E170="","",Målinger!E170)</f>
        <v/>
      </c>
      <c r="I24" s="188" t="str">
        <f>IF(Målinger!F170="","",Målinger!F170)</f>
        <v/>
      </c>
    </row>
    <row r="25" spans="1:10" ht="13.5" thickBot="1" x14ac:dyDescent="0.25">
      <c r="B25" s="59"/>
      <c r="E25" s="198"/>
      <c r="F25" s="198"/>
      <c r="G25" s="198"/>
      <c r="H25" s="188" t="str">
        <f>IF(Målinger!E171="","",Målinger!E171)</f>
        <v/>
      </c>
      <c r="I25" s="188" t="str">
        <f>IF(Målinger!F171="","",Målinger!F171)</f>
        <v/>
      </c>
      <c r="J25" s="188" t="str">
        <f>IF(Målinger!G171="","",Målinger!G171)</f>
        <v/>
      </c>
    </row>
    <row r="26" spans="1:10" ht="13.5" thickBot="1" x14ac:dyDescent="0.25">
      <c r="B26" s="462" t="s">
        <v>283</v>
      </c>
      <c r="C26" s="837"/>
      <c r="D26" s="835"/>
      <c r="E26" s="835"/>
      <c r="F26" s="835"/>
      <c r="G26" s="835"/>
      <c r="H26" s="835"/>
      <c r="I26" s="835"/>
      <c r="J26" s="836"/>
    </row>
    <row r="27" spans="1:10" x14ac:dyDescent="0.2">
      <c r="A27" s="198"/>
      <c r="B27" s="317" t="str">
        <f>Målinger!C173</f>
        <v>LØS DETEKTOR stor</v>
      </c>
      <c r="D27" s="527" t="str">
        <f>IF(Målinger!D173="","",Målinger!D173)</f>
        <v/>
      </c>
      <c r="E27" s="329" t="str">
        <f>Målinger!I173</f>
        <v>Program:</v>
      </c>
      <c r="F27" s="328" t="str">
        <f>IF(Målinger!J173="","",Målinger!J173)</f>
        <v/>
      </c>
      <c r="H27" s="11" t="str">
        <f>Målinger!E173</f>
        <v>GF</v>
      </c>
      <c r="I27" s="11" t="str">
        <f>Målinger!F173</f>
        <v>FF</v>
      </c>
    </row>
    <row r="28" spans="1:10" x14ac:dyDescent="0.2">
      <c r="A28" s="198"/>
      <c r="E28" s="198"/>
      <c r="F28" s="198"/>
      <c r="G28" s="329" t="s">
        <v>238</v>
      </c>
      <c r="H28" s="188" t="str">
        <f>IF(Målinger!E174="","",Målinger!E174)</f>
        <v/>
      </c>
      <c r="I28" s="188" t="str">
        <f>IF(Målinger!F174="","",Målinger!F174)</f>
        <v/>
      </c>
      <c r="J28" s="517"/>
    </row>
    <row r="29" spans="1:10" x14ac:dyDescent="0.2">
      <c r="A29" s="198"/>
      <c r="E29" s="198"/>
      <c r="F29" s="198"/>
      <c r="G29" s="329" t="s">
        <v>239</v>
      </c>
      <c r="H29" s="188" t="str">
        <f>IF(Målinger!E175="","",Målinger!E175)</f>
        <v/>
      </c>
      <c r="I29" s="188" t="str">
        <f>IF(Målinger!F175="","",Målinger!F175)</f>
        <v/>
      </c>
      <c r="J29" s="517"/>
    </row>
    <row r="30" spans="1:10" x14ac:dyDescent="0.2">
      <c r="A30" s="198"/>
      <c r="E30" s="198"/>
      <c r="F30" s="198"/>
      <c r="G30" s="329" t="s">
        <v>494</v>
      </c>
      <c r="H30" s="188" t="str">
        <f>IF(Målinger!E176="","",Målinger!E176)</f>
        <v/>
      </c>
      <c r="I30" s="188" t="str">
        <f>IF(Målinger!F176="","",Målinger!F176)</f>
        <v/>
      </c>
      <c r="J30" s="517"/>
    </row>
    <row r="31" spans="1:10" ht="13.5" customHeight="1" x14ac:dyDescent="0.2">
      <c r="A31" s="198"/>
      <c r="B31" s="59"/>
      <c r="E31" s="198"/>
      <c r="F31" s="198"/>
      <c r="G31" s="329" t="s">
        <v>240</v>
      </c>
      <c r="H31" s="188" t="str">
        <f>IF(Målinger!E177="","",Målinger!E177)</f>
        <v/>
      </c>
      <c r="I31" s="188" t="str">
        <f>IF(Målinger!F177="","",Målinger!F177)</f>
        <v/>
      </c>
      <c r="J31" s="517"/>
    </row>
    <row r="32" spans="1:10" x14ac:dyDescent="0.2">
      <c r="A32" s="198"/>
      <c r="B32" s="59"/>
      <c r="C32" s="517"/>
      <c r="D32" s="517"/>
      <c r="E32" s="198"/>
      <c r="F32" s="198"/>
      <c r="G32" s="329" t="s">
        <v>279</v>
      </c>
      <c r="H32" s="188" t="str">
        <f>IF(Målinger!E178="","",Målinger!E178)</f>
        <v/>
      </c>
      <c r="I32" s="188" t="str">
        <f>IF(Målinger!F178="","",Målinger!F178)</f>
        <v/>
      </c>
      <c r="J32" s="517"/>
    </row>
    <row r="33" spans="1:13" x14ac:dyDescent="0.2">
      <c r="A33" s="198"/>
      <c r="F33" s="517"/>
      <c r="G33" s="329" t="s">
        <v>489</v>
      </c>
      <c r="H33" s="188" t="str">
        <f>IF(Målinger!E179="","",Målinger!E179)</f>
        <v/>
      </c>
      <c r="I33" s="188" t="str">
        <f>IF(Målinger!F179="","",Målinger!F179)</f>
        <v/>
      </c>
    </row>
    <row r="34" spans="1:13" ht="14.25" customHeight="1" thickBot="1" x14ac:dyDescent="0.25">
      <c r="A34" s="198"/>
      <c r="B34" s="59"/>
      <c r="E34" s="198"/>
      <c r="F34" s="198"/>
      <c r="G34" s="198"/>
      <c r="H34" s="188" t="str">
        <f>IF(Målinger!E180="","",Målinger!E180)</f>
        <v/>
      </c>
      <c r="I34" s="188" t="str">
        <f>IF(Målinger!F180="","",Målinger!F180)</f>
        <v/>
      </c>
      <c r="J34" s="188" t="str">
        <f>IF(Målinger!G180="","",Målinger!G180)</f>
        <v/>
      </c>
      <c r="M34" s="59"/>
    </row>
    <row r="35" spans="1:13" ht="13.5" thickBot="1" x14ac:dyDescent="0.25">
      <c r="A35" s="198"/>
      <c r="B35" s="462" t="s">
        <v>283</v>
      </c>
      <c r="C35" s="690"/>
      <c r="D35" s="688"/>
      <c r="E35" s="688"/>
      <c r="F35" s="688"/>
      <c r="G35" s="688"/>
      <c r="H35" s="688"/>
      <c r="I35" s="688"/>
      <c r="J35" s="689"/>
    </row>
    <row r="36" spans="1:13" x14ac:dyDescent="0.2">
      <c r="A36" s="198"/>
    </row>
    <row r="37" spans="1:13" x14ac:dyDescent="0.2">
      <c r="A37" s="198"/>
      <c r="B37" s="317" t="str">
        <f>Målinger!C182</f>
        <v>LØS DETEKTOR liten</v>
      </c>
      <c r="D37" s="527" t="str">
        <f>IF(Målinger!D182="","",Målinger!D182)</f>
        <v/>
      </c>
      <c r="E37" s="329" t="str">
        <f>Målinger!I182</f>
        <v>Program:</v>
      </c>
      <c r="F37" s="328" t="str">
        <f>IF(Målinger!J182="","",Målinger!J182)</f>
        <v/>
      </c>
      <c r="H37" s="526" t="str">
        <f>Målinger!E182</f>
        <v>GF</v>
      </c>
      <c r="I37" s="526" t="str">
        <f>Målinger!F182</f>
        <v>FF</v>
      </c>
    </row>
    <row r="38" spans="1:13" x14ac:dyDescent="0.2">
      <c r="A38" s="198"/>
      <c r="E38" s="198"/>
      <c r="F38" s="198"/>
      <c r="G38" s="329" t="s">
        <v>238</v>
      </c>
      <c r="H38" s="188" t="str">
        <f>IF(Målinger!E183="","",Målinger!E183)</f>
        <v/>
      </c>
      <c r="I38" s="188" t="str">
        <f>IF(Målinger!F183="","",Målinger!F183)</f>
        <v/>
      </c>
      <c r="J38" s="517"/>
    </row>
    <row r="39" spans="1:13" x14ac:dyDescent="0.2">
      <c r="A39" s="198"/>
      <c r="B39" s="517"/>
      <c r="C39" s="517"/>
      <c r="D39" s="517"/>
      <c r="E39" s="198"/>
      <c r="F39" s="198"/>
      <c r="G39" s="329" t="s">
        <v>239</v>
      </c>
      <c r="H39" s="188" t="str">
        <f>IF(Målinger!E184="","",Målinger!E184)</f>
        <v/>
      </c>
      <c r="I39" s="188" t="str">
        <f>IF(Målinger!F184="","",Målinger!F184)</f>
        <v/>
      </c>
      <c r="J39" s="517"/>
    </row>
    <row r="40" spans="1:13" x14ac:dyDescent="0.2">
      <c r="A40" s="198"/>
      <c r="B40" s="517"/>
      <c r="C40" s="517"/>
      <c r="D40" s="517"/>
      <c r="E40" s="198"/>
      <c r="F40" s="198"/>
      <c r="G40" s="329" t="s">
        <v>494</v>
      </c>
      <c r="H40" s="188" t="str">
        <f>IF(Målinger!E185="","",Målinger!E185)</f>
        <v/>
      </c>
      <c r="I40" s="188" t="str">
        <f>IF(Målinger!F185="","",Målinger!F185)</f>
        <v/>
      </c>
      <c r="J40" s="517"/>
    </row>
    <row r="41" spans="1:13" x14ac:dyDescent="0.2">
      <c r="A41" s="198"/>
      <c r="B41" s="59"/>
      <c r="C41" s="517"/>
      <c r="D41" s="517"/>
      <c r="E41" s="198"/>
      <c r="F41" s="198"/>
      <c r="G41" s="329" t="s">
        <v>240</v>
      </c>
      <c r="H41" s="188" t="str">
        <f>IF(Målinger!E186="","",Målinger!E186)</f>
        <v/>
      </c>
      <c r="I41" s="188" t="str">
        <f>IF(Målinger!F186="","",Målinger!F186)</f>
        <v/>
      </c>
      <c r="J41" s="517"/>
    </row>
    <row r="42" spans="1:13" x14ac:dyDescent="0.2">
      <c r="A42" s="198"/>
      <c r="B42" s="59"/>
      <c r="C42" s="517"/>
      <c r="D42" s="517"/>
      <c r="E42" s="198"/>
      <c r="F42" s="198"/>
      <c r="G42" s="329" t="s">
        <v>279</v>
      </c>
      <c r="H42" s="188" t="str">
        <f>IF(Målinger!E187="","",Målinger!E187)</f>
        <v/>
      </c>
      <c r="I42" s="188" t="str">
        <f>IF(Målinger!F187="","",Målinger!F187)</f>
        <v/>
      </c>
      <c r="J42" s="517"/>
    </row>
    <row r="43" spans="1:13" x14ac:dyDescent="0.2">
      <c r="A43" s="198"/>
      <c r="B43" s="59"/>
      <c r="C43" s="517"/>
      <c r="D43" s="517"/>
      <c r="E43" s="198"/>
      <c r="F43" s="198"/>
      <c r="G43" s="329" t="s">
        <v>489</v>
      </c>
      <c r="H43" s="188" t="str">
        <f>IF(Målinger!E188="","",Målinger!E188)</f>
        <v/>
      </c>
      <c r="I43" s="188" t="str">
        <f>IF(Målinger!F188="","",Målinger!F188)</f>
        <v/>
      </c>
      <c r="K43" s="59"/>
    </row>
    <row r="44" spans="1:13" ht="13.5" thickBot="1" x14ac:dyDescent="0.25">
      <c r="A44" s="198"/>
      <c r="H44" s="188" t="str">
        <f>IF(Målinger!E189="","",Målinger!E189)</f>
        <v/>
      </c>
      <c r="I44" s="188" t="str">
        <f>IF(Målinger!F189="","",Målinger!F189)</f>
        <v/>
      </c>
      <c r="J44" s="188" t="str">
        <f>IF(Målinger!G189="","",Målinger!G189)</f>
        <v/>
      </c>
      <c r="K44" s="59"/>
    </row>
    <row r="45" spans="1:13" ht="13.5" thickBot="1" x14ac:dyDescent="0.25">
      <c r="A45" s="198"/>
      <c r="B45" s="462" t="s">
        <v>283</v>
      </c>
      <c r="C45" s="690"/>
      <c r="D45" s="688"/>
      <c r="E45" s="688"/>
      <c r="F45" s="688"/>
      <c r="G45" s="688"/>
      <c r="H45" s="688"/>
      <c r="I45" s="688"/>
      <c r="J45" s="689"/>
      <c r="K45" s="59"/>
    </row>
    <row r="46" spans="1:13" x14ac:dyDescent="0.2">
      <c r="A46" s="198"/>
      <c r="B46" s="197"/>
      <c r="C46" s="53"/>
      <c r="D46" s="197"/>
      <c r="E46" s="53"/>
      <c r="F46" s="53"/>
      <c r="G46" s="53"/>
      <c r="H46" s="265"/>
      <c r="I46" s="58"/>
      <c r="J46" s="53"/>
      <c r="K46" s="59"/>
    </row>
    <row r="47" spans="1:13" x14ac:dyDescent="0.2">
      <c r="A47" s="198"/>
      <c r="B47" s="53"/>
      <c r="C47" s="53"/>
      <c r="D47" s="53"/>
      <c r="E47" s="266"/>
      <c r="F47" s="266"/>
      <c r="G47" s="266"/>
      <c r="H47" s="265"/>
      <c r="I47" s="58"/>
      <c r="J47" s="53"/>
      <c r="K47" s="59"/>
    </row>
    <row r="48" spans="1:13" x14ac:dyDescent="0.2">
      <c r="A48" s="198"/>
      <c r="C48" s="53"/>
      <c r="D48" s="535"/>
      <c r="E48" s="53"/>
      <c r="F48" s="53"/>
      <c r="G48" s="266"/>
      <c r="H48" s="58"/>
      <c r="K48" s="59"/>
    </row>
    <row r="49" spans="1:11" x14ac:dyDescent="0.2">
      <c r="A49" s="198"/>
      <c r="B49" s="53"/>
      <c r="C49" s="53"/>
      <c r="D49" s="53"/>
      <c r="E49" s="53"/>
      <c r="F49" s="53"/>
      <c r="G49" s="53"/>
      <c r="H49" s="58"/>
      <c r="I49" s="58"/>
      <c r="J49" s="275"/>
      <c r="K49" s="59"/>
    </row>
    <row r="50" spans="1:11" x14ac:dyDescent="0.2">
      <c r="A50" s="198"/>
      <c r="C50" s="709" t="s">
        <v>285</v>
      </c>
      <c r="D50" s="53"/>
      <c r="E50" s="197"/>
      <c r="F50" s="197"/>
      <c r="G50" s="249"/>
      <c r="H50" s="322"/>
      <c r="J50" s="197"/>
      <c r="K50" s="59"/>
    </row>
    <row r="51" spans="1:11" x14ac:dyDescent="0.2">
      <c r="A51" s="198"/>
      <c r="D51" s="197"/>
      <c r="E51" s="197"/>
      <c r="F51" s="197"/>
      <c r="G51" s="249"/>
      <c r="I51" s="708" t="s">
        <v>286</v>
      </c>
      <c r="J51" s="197"/>
      <c r="K51" s="59"/>
    </row>
    <row r="52" spans="1:11" x14ac:dyDescent="0.2">
      <c r="A52" s="198"/>
      <c r="C52" s="266"/>
      <c r="D52" s="197"/>
      <c r="E52" s="197"/>
      <c r="F52" s="197"/>
      <c r="G52" s="249"/>
      <c r="H52" s="322"/>
      <c r="I52" s="322"/>
      <c r="J52" s="197"/>
      <c r="K52" s="59"/>
    </row>
    <row r="53" spans="1:11" x14ac:dyDescent="0.2">
      <c r="A53" s="198"/>
      <c r="B53" s="197"/>
      <c r="C53" s="249"/>
      <c r="D53" s="197"/>
      <c r="E53" s="197"/>
      <c r="F53" s="197"/>
      <c r="G53" s="249"/>
      <c r="H53" s="322"/>
      <c r="I53" s="322"/>
      <c r="J53" s="251"/>
      <c r="K53" s="59"/>
    </row>
    <row r="54" spans="1:11" x14ac:dyDescent="0.2">
      <c r="A54" s="198"/>
      <c r="B54" s="536"/>
      <c r="C54" s="274"/>
      <c r="D54" s="536"/>
      <c r="E54" s="197"/>
      <c r="F54" s="197"/>
      <c r="G54" s="323"/>
      <c r="H54" s="324"/>
      <c r="I54" s="324"/>
      <c r="J54" s="251"/>
      <c r="K54" s="59"/>
    </row>
    <row r="55" spans="1:11" x14ac:dyDescent="0.2">
      <c r="A55" s="198"/>
      <c r="B55" s="59"/>
      <c r="C55" s="274"/>
      <c r="D55" s="273"/>
      <c r="E55" s="197"/>
      <c r="F55" s="197"/>
      <c r="G55" s="323"/>
      <c r="H55" s="251"/>
      <c r="K55" s="59"/>
    </row>
    <row r="56" spans="1:11" x14ac:dyDescent="0.2">
      <c r="A56" s="198"/>
      <c r="B56" s="53"/>
      <c r="C56" s="53"/>
      <c r="D56" s="54"/>
      <c r="E56" s="251"/>
      <c r="F56" s="322"/>
      <c r="G56" s="322"/>
      <c r="H56" s="728"/>
      <c r="I56" s="729" t="s">
        <v>287</v>
      </c>
      <c r="J56" s="728"/>
    </row>
    <row r="57" spans="1:11" x14ac:dyDescent="0.2">
      <c r="A57" s="198"/>
      <c r="C57" s="53"/>
      <c r="D57" s="54"/>
      <c r="E57" s="251"/>
      <c r="F57" s="322"/>
      <c r="G57" s="322"/>
      <c r="H57" s="730"/>
      <c r="I57" s="730"/>
      <c r="J57" s="731"/>
    </row>
    <row r="58" spans="1:11" x14ac:dyDescent="0.2">
      <c r="A58" s="198"/>
      <c r="C58" s="53"/>
      <c r="D58" s="54"/>
      <c r="E58" s="266"/>
      <c r="F58" s="322"/>
      <c r="G58" s="322"/>
      <c r="H58" s="322"/>
      <c r="I58" s="322"/>
      <c r="J58" s="54"/>
    </row>
    <row r="59" spans="1:11" x14ac:dyDescent="0.2">
      <c r="A59" s="198"/>
      <c r="B59" s="53"/>
      <c r="C59" s="53"/>
      <c r="D59" s="54"/>
      <c r="E59" s="266"/>
      <c r="F59" s="322"/>
      <c r="G59" s="322"/>
      <c r="H59" s="266" t="s">
        <v>241</v>
      </c>
      <c r="I59" s="322"/>
      <c r="J59" s="54"/>
    </row>
    <row r="60" spans="1:11" x14ac:dyDescent="0.2">
      <c r="A60" s="198"/>
      <c r="B60" s="53"/>
      <c r="C60" s="53"/>
      <c r="D60" s="54"/>
      <c r="E60" s="251"/>
      <c r="F60" s="322"/>
      <c r="G60" s="326"/>
      <c r="H60" s="324"/>
      <c r="I60" s="324"/>
      <c r="J60" s="54"/>
    </row>
    <row r="61" spans="1:11" x14ac:dyDescent="0.2">
      <c r="A61" s="198"/>
      <c r="B61" s="53"/>
      <c r="C61" s="53"/>
      <c r="D61" s="54"/>
      <c r="E61" s="54"/>
      <c r="F61" s="58"/>
      <c r="G61" s="58"/>
      <c r="H61" s="54"/>
      <c r="I61" s="54"/>
      <c r="J61" s="54"/>
    </row>
    <row r="62" spans="1:11" x14ac:dyDescent="0.2">
      <c r="A62" s="198"/>
      <c r="B62" s="197"/>
      <c r="C62" s="197"/>
      <c r="D62" s="197"/>
      <c r="E62" s="197"/>
      <c r="F62" s="197"/>
      <c r="G62" s="197"/>
      <c r="H62" s="54"/>
      <c r="I62" s="54"/>
      <c r="J62" s="275"/>
    </row>
    <row r="63" spans="1:11" x14ac:dyDescent="0.2">
      <c r="A63" s="198"/>
      <c r="B63" s="252"/>
      <c r="C63" s="197"/>
      <c r="D63" s="197"/>
      <c r="E63" s="197"/>
      <c r="F63" s="197"/>
      <c r="G63" s="197"/>
      <c r="H63" s="197"/>
      <c r="I63" s="197"/>
      <c r="J63" s="197"/>
    </row>
    <row r="64" spans="1:11" x14ac:dyDescent="0.2">
      <c r="A64" s="198"/>
      <c r="B64" s="197"/>
      <c r="C64" s="197"/>
      <c r="D64" s="197"/>
      <c r="E64" s="197"/>
      <c r="F64" s="197"/>
      <c r="G64" s="197"/>
      <c r="H64" s="197"/>
      <c r="I64" s="197"/>
      <c r="J64" s="197"/>
    </row>
    <row r="65" spans="1:10" x14ac:dyDescent="0.2">
      <c r="A65" s="198"/>
      <c r="B65" s="198"/>
      <c r="C65" s="198"/>
      <c r="D65" s="198"/>
      <c r="E65" s="198"/>
      <c r="F65" s="198"/>
      <c r="G65" s="198"/>
      <c r="H65" s="198"/>
      <c r="I65" s="198"/>
      <c r="J65" s="197"/>
    </row>
    <row r="66" spans="1:10" x14ac:dyDescent="0.2">
      <c r="A66" s="198"/>
      <c r="B66" s="198"/>
      <c r="C66" s="198"/>
      <c r="D66" s="198"/>
      <c r="E66" s="198"/>
      <c r="F66" s="198"/>
      <c r="G66" s="198"/>
      <c r="H66" s="198"/>
      <c r="I66" s="198"/>
      <c r="J66" s="198"/>
    </row>
    <row r="67" spans="1:10" x14ac:dyDescent="0.2">
      <c r="A67" s="198"/>
      <c r="B67" s="198"/>
      <c r="C67" s="198"/>
      <c r="D67" s="198"/>
      <c r="E67" s="198"/>
      <c r="F67" s="198"/>
      <c r="G67" s="198"/>
      <c r="H67" s="198"/>
      <c r="I67" s="198"/>
      <c r="J67" s="198"/>
    </row>
    <row r="68" spans="1:10" x14ac:dyDescent="0.2">
      <c r="A68" s="198"/>
      <c r="B68" s="198"/>
      <c r="C68" s="198"/>
      <c r="D68" s="198"/>
      <c r="E68" s="198"/>
      <c r="F68" s="198"/>
      <c r="G68" s="198"/>
      <c r="H68" s="198"/>
      <c r="I68" s="198"/>
      <c r="J68" s="198"/>
    </row>
    <row r="69" spans="1:10" x14ac:dyDescent="0.2">
      <c r="A69" s="198"/>
      <c r="B69" s="198"/>
      <c r="C69" s="198"/>
      <c r="D69" s="198"/>
      <c r="E69" s="198"/>
      <c r="F69" s="198"/>
      <c r="G69" s="198"/>
      <c r="H69" s="198"/>
      <c r="I69" s="198"/>
      <c r="J69" s="198"/>
    </row>
    <row r="70" spans="1:10" x14ac:dyDescent="0.2">
      <c r="A70" s="198"/>
      <c r="B70" s="198"/>
      <c r="C70" s="198"/>
      <c r="D70" s="198"/>
      <c r="E70" s="198"/>
      <c r="F70" s="198"/>
      <c r="G70" s="198"/>
      <c r="H70" s="198"/>
      <c r="I70" s="198"/>
      <c r="J70" s="198"/>
    </row>
    <row r="71" spans="1:10" x14ac:dyDescent="0.2">
      <c r="A71" s="198"/>
      <c r="B71" s="198"/>
      <c r="C71" s="198"/>
      <c r="D71" s="198"/>
      <c r="E71" s="198"/>
      <c r="F71" s="198"/>
      <c r="G71" s="198"/>
      <c r="H71" s="198"/>
      <c r="I71" s="198"/>
      <c r="J71" s="198"/>
    </row>
    <row r="72" spans="1:10" x14ac:dyDescent="0.2">
      <c r="A72" s="198"/>
      <c r="B72" s="198"/>
      <c r="C72" s="198"/>
      <c r="D72" s="198"/>
      <c r="E72" s="198"/>
      <c r="F72" s="198"/>
      <c r="G72" s="198"/>
      <c r="H72" s="198"/>
      <c r="I72" s="198"/>
      <c r="J72" s="198"/>
    </row>
    <row r="73" spans="1:10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</row>
    <row r="74" spans="1:10" x14ac:dyDescent="0.2">
      <c r="A74" s="198"/>
      <c r="B74" s="198"/>
      <c r="C74" s="198"/>
      <c r="D74" s="198"/>
      <c r="E74" s="198"/>
      <c r="F74" s="198"/>
      <c r="G74" s="198"/>
      <c r="H74" s="198"/>
      <c r="I74" s="198"/>
      <c r="J74" s="198"/>
    </row>
    <row r="75" spans="1:10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</row>
    <row r="76" spans="1:10" x14ac:dyDescent="0.2">
      <c r="A76" s="198"/>
      <c r="B76" s="198"/>
      <c r="C76" s="198"/>
      <c r="D76" s="198"/>
      <c r="E76" s="198"/>
      <c r="F76" s="198"/>
      <c r="G76" s="198"/>
      <c r="H76" s="198"/>
      <c r="I76" s="198"/>
      <c r="J76" s="198"/>
    </row>
    <row r="77" spans="1:10" x14ac:dyDescent="0.2">
      <c r="A77" s="198"/>
      <c r="B77" s="198"/>
      <c r="C77" s="198"/>
      <c r="D77" s="198"/>
      <c r="E77" s="198"/>
      <c r="F77" s="198"/>
      <c r="G77" s="198"/>
      <c r="H77" s="198"/>
      <c r="I77" s="198"/>
      <c r="J77" s="198"/>
    </row>
    <row r="78" spans="1:10" x14ac:dyDescent="0.2">
      <c r="A78" s="198"/>
      <c r="B78" s="198"/>
      <c r="C78" s="198"/>
      <c r="D78" s="198"/>
      <c r="E78" s="198"/>
      <c r="F78" s="198"/>
      <c r="G78" s="198"/>
      <c r="H78" s="198"/>
      <c r="I78" s="198"/>
      <c r="J78" s="198"/>
    </row>
    <row r="79" spans="1:10" x14ac:dyDescent="0.2">
      <c r="B79" s="198"/>
      <c r="C79" s="198"/>
      <c r="D79" s="198"/>
      <c r="E79" s="198"/>
      <c r="F79" s="198"/>
      <c r="G79" s="198"/>
      <c r="H79" s="198"/>
      <c r="I79" s="198"/>
      <c r="J79" s="198"/>
    </row>
    <row r="80" spans="1:10" x14ac:dyDescent="0.2">
      <c r="B80" s="187"/>
      <c r="J80" s="198"/>
    </row>
    <row r="81" spans="3:3" x14ac:dyDescent="0.2">
      <c r="C81" s="187"/>
    </row>
  </sheetData>
  <mergeCells count="2">
    <mergeCell ref="C17:J17"/>
    <mergeCell ref="C26:J26"/>
  </mergeCells>
  <conditionalFormatting sqref="J57:J61 H55">
    <cfRule type="containsText" dxfId="37" priority="53" operator="containsText" text="Fail">
      <formula>NOT(ISERROR(SEARCH("Fail",H55)))</formula>
    </cfRule>
    <cfRule type="containsText" dxfId="36" priority="54" operator="containsText" text="Pass">
      <formula>NOT(ISERROR(SEARCH("Pass",H55)))</formula>
    </cfRule>
  </conditionalFormatting>
  <conditionalFormatting sqref="H61:I61">
    <cfRule type="containsText" dxfId="35" priority="51" operator="containsText" text="Fail">
      <formula>NOT(ISERROR(SEARCH("Fail",H61)))</formula>
    </cfRule>
    <cfRule type="containsText" dxfId="34" priority="52" operator="containsText" text="Pass">
      <formula>NOT(ISERROR(SEARCH("Pass",H61)))</formula>
    </cfRule>
  </conditionalFormatting>
  <conditionalFormatting sqref="J53">
    <cfRule type="containsText" dxfId="33" priority="47" operator="containsText" text="Fail">
      <formula>NOT(ISERROR(SEARCH("Fail",J53)))</formula>
    </cfRule>
    <cfRule type="containsText" dxfId="32" priority="48" operator="containsText" text="Pass">
      <formula>NOT(ISERROR(SEARCH("Pass",J53)))</formula>
    </cfRule>
  </conditionalFormatting>
  <conditionalFormatting sqref="J54">
    <cfRule type="containsText" dxfId="31" priority="45" operator="containsText" text="Fail">
      <formula>NOT(ISERROR(SEARCH("Fail",J54)))</formula>
    </cfRule>
    <cfRule type="containsText" dxfId="30" priority="46" operator="containsText" text="Pass">
      <formula>NOT(ISERROR(SEARCH("Pass",J54)))</formula>
    </cfRule>
  </conditionalFormatting>
  <conditionalFormatting sqref="J62">
    <cfRule type="containsText" dxfId="29" priority="49" operator="containsText" text="Fail">
      <formula>NOT(ISERROR(SEARCH("Fail",J62)))</formula>
    </cfRule>
    <cfRule type="containsText" dxfId="28" priority="50" operator="containsText" text="Pass">
      <formula>NOT(ISERROR(SEARCH("Pass",J62)))</formula>
    </cfRule>
  </conditionalFormatting>
  <conditionalFormatting sqref="J49">
    <cfRule type="containsText" dxfId="27" priority="41" operator="containsText" text="Fail">
      <formula>NOT(ISERROR(SEARCH("Fail",J49)))</formula>
    </cfRule>
    <cfRule type="containsText" dxfId="26" priority="42" operator="containsText" text="Pass">
      <formula>NOT(ISERROR(SEARCH("Pass",J49)))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
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83"/>
  <sheetViews>
    <sheetView showGridLines="0" showRuler="0" view="pageLayout" topLeftCell="A19" zoomScale="115" zoomScaleNormal="75" zoomScaleSheetLayoutView="90" zoomScalePageLayoutView="115" workbookViewId="0">
      <selection activeCell="K16" sqref="K16"/>
    </sheetView>
  </sheetViews>
  <sheetFormatPr baseColWidth="10" defaultRowHeight="12.75" x14ac:dyDescent="0.2"/>
  <cols>
    <col min="1" max="1" width="2.5703125" customWidth="1"/>
    <col min="2" max="3" width="9.140625" customWidth="1"/>
    <col min="4" max="4" width="9.5703125" customWidth="1"/>
    <col min="5" max="6" width="9.140625" customWidth="1"/>
    <col min="7" max="7" width="11" customWidth="1"/>
    <col min="8" max="10" width="9.140625" customWidth="1"/>
    <col min="11" max="11" width="10.7109375" customWidth="1"/>
    <col min="12" max="18" width="9.140625" customWidth="1"/>
  </cols>
  <sheetData>
    <row r="1" spans="2:11" x14ac:dyDescent="0.2">
      <c r="B1" s="182"/>
    </row>
    <row r="3" spans="2:11" x14ac:dyDescent="0.2">
      <c r="B3" s="182"/>
      <c r="C3" s="182"/>
    </row>
    <row r="4" spans="2:11" x14ac:dyDescent="0.2">
      <c r="C4" s="59"/>
    </row>
    <row r="5" spans="2:11" ht="15.75" x14ac:dyDescent="0.25">
      <c r="B5" s="183" t="s">
        <v>259</v>
      </c>
      <c r="C5" s="59"/>
      <c r="D5" s="59"/>
      <c r="E5" s="59"/>
      <c r="F5" s="59"/>
      <c r="K5" s="183"/>
    </row>
    <row r="6" spans="2:11" x14ac:dyDescent="0.2">
      <c r="B6" s="463"/>
      <c r="C6" s="464"/>
      <c r="D6" s="464"/>
      <c r="E6" s="464"/>
      <c r="F6" s="464"/>
      <c r="G6" s="457"/>
      <c r="H6" s="457"/>
      <c r="I6" s="457"/>
      <c r="J6" s="165"/>
    </row>
    <row r="7" spans="2:11" x14ac:dyDescent="0.2">
      <c r="B7" s="463"/>
      <c r="C7" s="464"/>
      <c r="D7" s="464"/>
      <c r="E7" s="464"/>
      <c r="F7" s="464"/>
      <c r="G7" s="464"/>
      <c r="H7" s="464"/>
      <c r="I7" s="464"/>
      <c r="J7" s="464"/>
    </row>
    <row r="8" spans="2:11" ht="15.75" x14ac:dyDescent="0.25">
      <c r="B8" s="477" t="s">
        <v>261</v>
      </c>
      <c r="C8" s="478"/>
      <c r="D8" s="479"/>
      <c r="E8" s="477"/>
      <c r="G8" s="477" t="s">
        <v>260</v>
      </c>
      <c r="H8" s="480"/>
      <c r="I8" s="464"/>
      <c r="J8" s="464"/>
    </row>
    <row r="9" spans="2:11" x14ac:dyDescent="0.2">
      <c r="B9" s="464"/>
      <c r="C9" s="464"/>
      <c r="D9" s="464"/>
      <c r="E9" s="464"/>
      <c r="F9" s="464"/>
      <c r="G9" s="464"/>
      <c r="H9" s="464"/>
      <c r="I9" s="464"/>
      <c r="J9" s="464"/>
    </row>
    <row r="10" spans="2:11" x14ac:dyDescent="0.2">
      <c r="B10" s="464"/>
      <c r="C10" s="464"/>
      <c r="D10" s="464"/>
      <c r="E10" s="464"/>
      <c r="F10" s="464"/>
      <c r="G10" s="464"/>
      <c r="H10" s="464"/>
      <c r="I10" s="464"/>
      <c r="J10" s="464"/>
    </row>
    <row r="11" spans="2:11" x14ac:dyDescent="0.2">
      <c r="B11" s="465"/>
      <c r="C11" s="464"/>
      <c r="D11" s="466"/>
      <c r="E11" s="466"/>
      <c r="F11" s="466"/>
      <c r="G11" s="464"/>
      <c r="H11" s="467"/>
      <c r="I11" s="467"/>
      <c r="J11" s="464"/>
    </row>
    <row r="12" spans="2:11" x14ac:dyDescent="0.2">
      <c r="B12" s="464"/>
      <c r="C12" s="464"/>
      <c r="D12" s="464"/>
      <c r="E12" s="468"/>
      <c r="F12" s="468"/>
      <c r="G12" s="469"/>
      <c r="H12" s="467"/>
      <c r="I12" s="467"/>
      <c r="J12" s="464"/>
    </row>
    <row r="13" spans="2:11" x14ac:dyDescent="0.2">
      <c r="B13" s="464"/>
      <c r="C13" s="464"/>
      <c r="D13" s="464"/>
      <c r="E13" s="468"/>
      <c r="F13" s="468"/>
      <c r="G13" s="469"/>
      <c r="H13" s="467"/>
      <c r="I13" s="467"/>
      <c r="J13" s="464"/>
    </row>
    <row r="14" spans="2:11" x14ac:dyDescent="0.2">
      <c r="B14" s="464"/>
      <c r="C14" s="464"/>
      <c r="D14" s="464"/>
      <c r="E14" s="468"/>
      <c r="F14" s="468"/>
      <c r="G14" s="469"/>
      <c r="H14" s="467"/>
      <c r="I14" s="467"/>
      <c r="J14" s="464"/>
    </row>
    <row r="15" spans="2:11" x14ac:dyDescent="0.2">
      <c r="B15" s="463"/>
      <c r="C15" s="464"/>
      <c r="D15" s="464"/>
      <c r="E15" s="468"/>
      <c r="F15" s="468"/>
      <c r="G15" s="469"/>
      <c r="H15" s="467"/>
      <c r="I15" s="467"/>
      <c r="J15" s="464"/>
    </row>
    <row r="16" spans="2:11" x14ac:dyDescent="0.2">
      <c r="B16" s="464"/>
      <c r="C16" s="464"/>
      <c r="D16" s="464"/>
      <c r="E16" s="468"/>
      <c r="F16" s="468"/>
      <c r="G16" s="468"/>
      <c r="H16" s="467"/>
      <c r="I16" s="467"/>
      <c r="J16" s="470"/>
    </row>
    <row r="17" spans="1:10" x14ac:dyDescent="0.2">
      <c r="B17" s="463"/>
      <c r="C17" s="838"/>
      <c r="D17" s="839"/>
      <c r="E17" s="839"/>
      <c r="F17" s="839"/>
      <c r="G17" s="839"/>
      <c r="H17" s="839"/>
      <c r="I17" s="839"/>
      <c r="J17" s="839"/>
    </row>
    <row r="18" spans="1:10" x14ac:dyDescent="0.2">
      <c r="B18" s="464"/>
      <c r="C18" s="464"/>
      <c r="D18" s="464"/>
      <c r="E18" s="464"/>
      <c r="F18" s="464"/>
      <c r="G18" s="464"/>
      <c r="H18" s="464"/>
      <c r="I18" s="464"/>
      <c r="J18" s="464"/>
    </row>
    <row r="19" spans="1:10" x14ac:dyDescent="0.2">
      <c r="B19" s="465"/>
      <c r="C19" s="464"/>
      <c r="D19" s="464"/>
      <c r="E19" s="471"/>
      <c r="F19" s="466"/>
      <c r="G19" s="464"/>
      <c r="H19" s="467"/>
      <c r="I19" s="467"/>
      <c r="J19" s="464"/>
    </row>
    <row r="20" spans="1:10" x14ac:dyDescent="0.2">
      <c r="B20" s="464"/>
      <c r="C20" s="464"/>
      <c r="D20" s="464"/>
      <c r="E20" s="468"/>
      <c r="F20" s="468"/>
      <c r="G20" s="469"/>
      <c r="H20" s="467"/>
      <c r="I20" s="467"/>
      <c r="J20" s="464"/>
    </row>
    <row r="21" spans="1:10" x14ac:dyDescent="0.2">
      <c r="B21" s="464"/>
      <c r="C21" s="464"/>
      <c r="D21" s="464"/>
      <c r="E21" s="468"/>
      <c r="F21" s="468"/>
      <c r="G21" s="469"/>
      <c r="H21" s="467"/>
      <c r="I21" s="467"/>
      <c r="J21" s="464"/>
    </row>
    <row r="22" spans="1:10" x14ac:dyDescent="0.2">
      <c r="B22" s="464"/>
      <c r="C22" s="464"/>
      <c r="D22" s="464"/>
      <c r="E22" s="468"/>
      <c r="F22" s="468"/>
      <c r="G22" s="469"/>
      <c r="H22" s="467"/>
      <c r="I22" s="467"/>
      <c r="J22" s="464"/>
    </row>
    <row r="23" spans="1:10" x14ac:dyDescent="0.2">
      <c r="B23" s="463"/>
      <c r="C23" s="464"/>
      <c r="D23" s="464"/>
      <c r="E23" s="468"/>
      <c r="F23" s="468"/>
      <c r="G23" s="469"/>
      <c r="H23" s="467"/>
      <c r="I23" s="467"/>
      <c r="J23" s="464"/>
    </row>
    <row r="24" spans="1:10" x14ac:dyDescent="0.2">
      <c r="B24" s="463"/>
      <c r="C24" s="464"/>
      <c r="D24" s="464"/>
      <c r="E24" s="468"/>
      <c r="F24" s="468"/>
      <c r="G24" s="468"/>
      <c r="H24" s="467"/>
      <c r="I24" s="467"/>
      <c r="J24" s="470"/>
    </row>
    <row r="25" spans="1:10" x14ac:dyDescent="0.2">
      <c r="B25" s="463"/>
      <c r="C25" s="838"/>
      <c r="D25" s="839"/>
      <c r="E25" s="839"/>
      <c r="F25" s="839"/>
      <c r="G25" s="839"/>
      <c r="H25" s="839"/>
      <c r="I25" s="839"/>
      <c r="J25" s="839"/>
    </row>
    <row r="26" spans="1:10" ht="15.75" x14ac:dyDescent="0.25">
      <c r="B26" s="477" t="s">
        <v>262</v>
      </c>
      <c r="C26" s="463"/>
      <c r="D26" s="463"/>
      <c r="E26" s="463"/>
      <c r="F26" s="463"/>
      <c r="G26" s="463"/>
      <c r="H26" s="463"/>
      <c r="I26" s="463"/>
      <c r="J26" s="463"/>
    </row>
    <row r="27" spans="1:10" x14ac:dyDescent="0.2">
      <c r="A27" s="198"/>
      <c r="B27" s="463"/>
      <c r="C27" s="464"/>
      <c r="D27" s="464"/>
      <c r="E27" s="468"/>
      <c r="F27" s="468"/>
      <c r="G27" s="469"/>
      <c r="H27" s="467"/>
      <c r="I27" s="467"/>
      <c r="J27" s="463"/>
    </row>
    <row r="28" spans="1:10" ht="15" x14ac:dyDescent="0.2">
      <c r="A28" s="198"/>
      <c r="C28" s="478"/>
      <c r="D28" s="479"/>
      <c r="E28" s="477"/>
      <c r="G28" s="477" t="s">
        <v>260</v>
      </c>
      <c r="H28" s="480" t="s">
        <v>289</v>
      </c>
      <c r="I28" s="467"/>
      <c r="J28" s="464"/>
    </row>
    <row r="29" spans="1:10" x14ac:dyDescent="0.2">
      <c r="A29" s="198"/>
      <c r="B29" s="463"/>
      <c r="C29" s="523"/>
      <c r="D29" s="522"/>
      <c r="E29" s="522"/>
      <c r="F29" s="522"/>
      <c r="G29" s="522"/>
      <c r="H29" s="522"/>
      <c r="I29" s="522"/>
      <c r="J29" s="464"/>
    </row>
    <row r="30" spans="1:10" x14ac:dyDescent="0.2">
      <c r="A30" s="198"/>
      <c r="B30" s="465"/>
      <c r="C30" s="463"/>
      <c r="D30" s="472"/>
      <c r="E30" s="470"/>
      <c r="F30" s="470"/>
      <c r="G30" s="470"/>
      <c r="H30" s="470"/>
      <c r="I30" s="463"/>
      <c r="J30" s="464"/>
    </row>
    <row r="31" spans="1:10" ht="13.5" customHeight="1" x14ac:dyDescent="0.2">
      <c r="A31" s="198"/>
      <c r="B31" s="463"/>
      <c r="C31" s="463"/>
      <c r="D31" s="463"/>
      <c r="E31" s="470"/>
      <c r="F31" s="470"/>
      <c r="G31" s="470"/>
      <c r="H31" s="470"/>
      <c r="I31" s="473"/>
      <c r="J31" s="464"/>
    </row>
    <row r="32" spans="1:10" x14ac:dyDescent="0.2">
      <c r="A32" s="198"/>
      <c r="B32" s="465"/>
      <c r="C32" s="464"/>
      <c r="D32" s="464"/>
      <c r="E32" s="471"/>
      <c r="F32" s="466"/>
      <c r="G32" s="464"/>
      <c r="H32" s="467"/>
      <c r="I32" s="467"/>
      <c r="J32" s="464"/>
    </row>
    <row r="33" spans="1:13" x14ac:dyDescent="0.2">
      <c r="A33" s="198"/>
      <c r="B33" s="464"/>
      <c r="C33" s="464"/>
      <c r="D33" s="464"/>
      <c r="E33" s="468"/>
      <c r="F33" s="468"/>
      <c r="G33" s="469"/>
      <c r="H33" s="467"/>
      <c r="I33" s="467"/>
      <c r="J33" s="470"/>
    </row>
    <row r="34" spans="1:13" ht="14.25" customHeight="1" x14ac:dyDescent="0.2">
      <c r="A34" s="198"/>
      <c r="B34" s="464"/>
      <c r="C34" s="464"/>
      <c r="D34" s="464"/>
      <c r="E34" s="468"/>
      <c r="F34" s="468"/>
      <c r="G34" s="469"/>
      <c r="H34" s="467"/>
      <c r="I34" s="467"/>
      <c r="J34" s="522"/>
      <c r="M34" s="59"/>
    </row>
    <row r="35" spans="1:13" x14ac:dyDescent="0.2">
      <c r="A35" s="198"/>
      <c r="B35" s="464"/>
      <c r="C35" s="464"/>
      <c r="D35" s="464"/>
      <c r="E35" s="468"/>
      <c r="F35" s="468"/>
      <c r="G35" s="469"/>
      <c r="H35" s="467"/>
      <c r="I35" s="467"/>
      <c r="J35" s="463"/>
    </row>
    <row r="36" spans="1:13" x14ac:dyDescent="0.2">
      <c r="A36" s="198"/>
      <c r="B36" s="463"/>
      <c r="C36" s="464"/>
      <c r="D36" s="464"/>
      <c r="E36" s="468"/>
      <c r="F36" s="468"/>
      <c r="G36" s="469"/>
      <c r="H36" s="467"/>
      <c r="I36" s="467"/>
      <c r="J36" s="463"/>
    </row>
    <row r="37" spans="1:13" x14ac:dyDescent="0.2">
      <c r="A37" s="198"/>
      <c r="B37" s="463"/>
      <c r="C37" s="464"/>
      <c r="D37" s="464"/>
      <c r="E37" s="468"/>
      <c r="F37" s="468"/>
      <c r="G37" s="468"/>
      <c r="H37" s="467"/>
      <c r="I37" s="467"/>
      <c r="J37" s="464"/>
    </row>
    <row r="38" spans="1:13" x14ac:dyDescent="0.2">
      <c r="A38" s="198"/>
      <c r="B38" s="463"/>
      <c r="C38" s="523"/>
      <c r="D38" s="522"/>
      <c r="E38" s="522"/>
      <c r="F38" s="522"/>
      <c r="G38" s="522"/>
      <c r="H38" s="522"/>
      <c r="I38" s="522"/>
      <c r="J38" s="464"/>
    </row>
    <row r="39" spans="1:13" x14ac:dyDescent="0.2">
      <c r="A39" s="198"/>
      <c r="B39" s="463"/>
      <c r="C39" s="463"/>
      <c r="D39" s="463"/>
      <c r="E39" s="470"/>
      <c r="F39" s="470"/>
      <c r="G39" s="470"/>
      <c r="H39" s="474"/>
      <c r="I39" s="474"/>
      <c r="J39" s="464"/>
    </row>
    <row r="40" spans="1:13" x14ac:dyDescent="0.2">
      <c r="A40" s="198"/>
      <c r="B40" s="463"/>
      <c r="C40" s="463"/>
      <c r="D40" s="463"/>
      <c r="E40" s="470"/>
      <c r="F40" s="470"/>
      <c r="G40" s="470"/>
      <c r="H40" s="476"/>
      <c r="I40" s="474"/>
      <c r="J40" s="464"/>
    </row>
    <row r="41" spans="1:13" x14ac:dyDescent="0.2">
      <c r="A41" s="198"/>
      <c r="B41" s="53"/>
      <c r="C41" s="53"/>
      <c r="D41" s="53"/>
      <c r="E41" s="53"/>
      <c r="F41" s="53"/>
      <c r="G41" s="53"/>
      <c r="H41" s="265"/>
      <c r="I41" s="58"/>
      <c r="J41" s="464"/>
    </row>
    <row r="42" spans="1:13" x14ac:dyDescent="0.2">
      <c r="A42" s="198"/>
      <c r="B42" s="53"/>
      <c r="C42" s="53"/>
      <c r="D42" s="53"/>
      <c r="E42" s="53"/>
      <c r="F42" s="53"/>
      <c r="G42" s="53"/>
      <c r="H42" s="265"/>
      <c r="I42" s="58"/>
      <c r="J42" s="470"/>
    </row>
    <row r="43" spans="1:13" x14ac:dyDescent="0.2">
      <c r="A43" s="198"/>
      <c r="B43" s="53"/>
      <c r="C43" s="53"/>
      <c r="D43" s="53"/>
      <c r="E43" s="266"/>
      <c r="F43" s="266"/>
      <c r="G43" s="266"/>
      <c r="H43" s="265"/>
      <c r="I43" s="58"/>
      <c r="J43" s="522"/>
      <c r="K43" s="59"/>
    </row>
    <row r="44" spans="1:13" x14ac:dyDescent="0.2">
      <c r="A44" s="198"/>
      <c r="B44" s="53"/>
      <c r="C44" s="53"/>
      <c r="D44" s="53"/>
      <c r="E44" s="53"/>
      <c r="F44" s="53"/>
      <c r="G44" s="266"/>
      <c r="H44" s="58"/>
      <c r="I44" s="58"/>
      <c r="J44" s="475"/>
      <c r="K44" s="59"/>
    </row>
    <row r="45" spans="1:13" x14ac:dyDescent="0.2">
      <c r="A45" s="198"/>
      <c r="B45" s="53"/>
      <c r="C45" s="53"/>
      <c r="D45" s="53"/>
      <c r="E45" s="53"/>
      <c r="F45" s="53"/>
      <c r="G45" s="53"/>
      <c r="H45" s="58"/>
      <c r="I45" s="58"/>
      <c r="J45" s="463"/>
      <c r="K45" s="59"/>
    </row>
    <row r="46" spans="1:13" x14ac:dyDescent="0.2">
      <c r="A46" s="198"/>
      <c r="B46" s="278"/>
      <c r="C46" s="249"/>
      <c r="D46" s="197"/>
      <c r="E46" s="197"/>
      <c r="F46" s="197"/>
      <c r="G46" s="249"/>
      <c r="H46" s="322"/>
      <c r="I46" s="322"/>
      <c r="J46" s="53"/>
      <c r="K46" s="59"/>
    </row>
    <row r="47" spans="1:13" x14ac:dyDescent="0.2">
      <c r="A47" s="198"/>
      <c r="B47" s="278"/>
      <c r="C47" s="249"/>
      <c r="D47" s="197"/>
      <c r="E47" s="197"/>
      <c r="F47" s="197"/>
      <c r="G47" s="249"/>
      <c r="H47" s="322"/>
      <c r="I47" s="322"/>
      <c r="J47" s="53"/>
      <c r="K47" s="59"/>
    </row>
    <row r="48" spans="1:13" ht="15.75" x14ac:dyDescent="0.25">
      <c r="A48" s="198"/>
      <c r="B48" s="280"/>
      <c r="C48" s="249"/>
      <c r="D48" s="197"/>
      <c r="E48" s="197"/>
      <c r="F48" s="197"/>
      <c r="G48" s="249"/>
      <c r="H48" s="322"/>
      <c r="I48" s="322"/>
      <c r="J48" s="53"/>
      <c r="K48" s="59"/>
    </row>
    <row r="49" spans="1:11" x14ac:dyDescent="0.2">
      <c r="A49" s="198"/>
      <c r="B49" s="197"/>
      <c r="C49" s="249"/>
      <c r="D49" s="197"/>
      <c r="E49" s="197"/>
      <c r="F49" s="197"/>
      <c r="G49" s="249"/>
      <c r="H49" s="322"/>
      <c r="I49" s="322"/>
      <c r="J49" s="53"/>
      <c r="K49" s="59"/>
    </row>
    <row r="50" spans="1:11" x14ac:dyDescent="0.2">
      <c r="A50" s="198"/>
      <c r="B50" s="53"/>
      <c r="C50" s="274"/>
      <c r="D50" s="273"/>
      <c r="E50" s="197"/>
      <c r="F50" s="197"/>
      <c r="G50" s="323"/>
      <c r="H50" s="324"/>
      <c r="I50" s="324"/>
      <c r="J50" s="275"/>
      <c r="K50" s="59"/>
    </row>
    <row r="51" spans="1:11" x14ac:dyDescent="0.2">
      <c r="A51" s="198"/>
      <c r="B51" s="53"/>
      <c r="C51" s="274"/>
      <c r="D51" s="273"/>
      <c r="E51" s="197"/>
      <c r="F51" s="197"/>
      <c r="G51" s="323"/>
      <c r="H51" s="251"/>
      <c r="I51" s="251"/>
      <c r="J51" s="197"/>
      <c r="K51" s="59"/>
    </row>
    <row r="52" spans="1:11" x14ac:dyDescent="0.2">
      <c r="A52" s="198"/>
      <c r="B52" s="53"/>
      <c r="C52" s="53"/>
      <c r="D52" s="54"/>
      <c r="E52" s="251"/>
      <c r="F52" s="322"/>
      <c r="G52" s="322"/>
      <c r="H52" s="251"/>
      <c r="I52" s="251"/>
      <c r="J52" s="197"/>
      <c r="K52" s="59"/>
    </row>
    <row r="53" spans="1:11" x14ac:dyDescent="0.2">
      <c r="A53" s="198"/>
      <c r="C53" s="53"/>
      <c r="D53" s="54"/>
      <c r="E53" s="251"/>
      <c r="F53" s="322"/>
      <c r="G53" s="322"/>
      <c r="H53" s="325"/>
      <c r="I53" s="325"/>
      <c r="J53" s="197"/>
      <c r="K53" s="59"/>
    </row>
    <row r="54" spans="1:11" x14ac:dyDescent="0.2">
      <c r="A54" s="198"/>
      <c r="B54" s="258"/>
      <c r="C54" s="53"/>
      <c r="D54" s="54"/>
      <c r="E54" s="251"/>
      <c r="F54" s="322"/>
      <c r="G54" s="322"/>
      <c r="H54" s="322"/>
      <c r="I54" s="322"/>
      <c r="J54" s="251"/>
      <c r="K54" s="59"/>
    </row>
    <row r="55" spans="1:11" x14ac:dyDescent="0.2">
      <c r="A55" s="198"/>
      <c r="B55" s="53"/>
      <c r="C55" s="53"/>
      <c r="D55" s="54"/>
      <c r="E55" s="251"/>
      <c r="F55" s="322"/>
      <c r="G55" s="322"/>
      <c r="H55" s="322"/>
      <c r="I55" s="322"/>
      <c r="J55" s="251"/>
      <c r="K55" s="59"/>
    </row>
    <row r="56" spans="1:11" x14ac:dyDescent="0.2">
      <c r="A56" s="198"/>
      <c r="B56" s="59"/>
      <c r="C56" s="53"/>
      <c r="D56" s="54"/>
      <c r="E56" s="266"/>
      <c r="F56" s="322"/>
      <c r="G56" s="322"/>
      <c r="H56" s="322"/>
      <c r="I56" s="322"/>
      <c r="J56" s="251"/>
    </row>
    <row r="57" spans="1:11" x14ac:dyDescent="0.2">
      <c r="A57" s="198"/>
      <c r="B57" s="53"/>
      <c r="C57" s="53"/>
      <c r="D57" s="54"/>
      <c r="E57" s="251"/>
      <c r="F57" s="322"/>
      <c r="G57" s="322"/>
      <c r="H57" s="322"/>
      <c r="I57" s="322"/>
      <c r="J57" s="275"/>
    </row>
    <row r="58" spans="1:11" x14ac:dyDescent="0.2">
      <c r="A58" s="198"/>
      <c r="B58" s="53"/>
      <c r="C58" s="53"/>
      <c r="D58" s="54"/>
      <c r="E58" s="251"/>
      <c r="F58" s="322"/>
      <c r="G58" s="326"/>
      <c r="H58" s="324"/>
      <c r="I58" s="324"/>
      <c r="J58" s="54"/>
    </row>
    <row r="59" spans="1:11" x14ac:dyDescent="0.2">
      <c r="A59" s="198"/>
      <c r="B59" s="53"/>
      <c r="C59" s="53"/>
      <c r="D59" s="54"/>
      <c r="E59" s="54"/>
      <c r="F59" s="58"/>
      <c r="G59" s="58"/>
      <c r="H59" s="54"/>
      <c r="I59" s="54"/>
      <c r="J59" s="54"/>
    </row>
    <row r="60" spans="1:11" x14ac:dyDescent="0.2">
      <c r="A60" s="198"/>
      <c r="B60" s="197"/>
      <c r="C60" s="197"/>
      <c r="D60" s="197"/>
      <c r="E60" s="197"/>
      <c r="F60" s="197"/>
      <c r="G60" s="197"/>
      <c r="H60" s="54"/>
      <c r="I60" s="54"/>
      <c r="J60" s="54"/>
    </row>
    <row r="61" spans="1:11" x14ac:dyDescent="0.2">
      <c r="A61" s="198"/>
      <c r="B61" s="252"/>
      <c r="C61" s="197"/>
      <c r="D61" s="197"/>
      <c r="E61" s="197"/>
      <c r="F61" s="197"/>
      <c r="G61" s="197"/>
      <c r="H61" s="197"/>
      <c r="I61" s="197"/>
      <c r="J61" s="54"/>
    </row>
    <row r="62" spans="1:11" x14ac:dyDescent="0.2">
      <c r="A62" s="198"/>
      <c r="B62" s="197"/>
      <c r="C62" s="197"/>
      <c r="D62" s="197"/>
      <c r="E62" s="197"/>
      <c r="F62" s="197"/>
      <c r="G62" s="197"/>
      <c r="H62" s="197"/>
      <c r="I62" s="197"/>
      <c r="J62" s="54"/>
    </row>
    <row r="63" spans="1:11" x14ac:dyDescent="0.2">
      <c r="A63" s="198"/>
      <c r="B63" s="198"/>
      <c r="C63" s="198"/>
      <c r="D63" s="198"/>
      <c r="E63" s="198"/>
      <c r="F63" s="198"/>
      <c r="G63" s="198"/>
      <c r="H63" s="198"/>
      <c r="I63" s="198"/>
      <c r="J63" s="54"/>
    </row>
    <row r="64" spans="1:11" x14ac:dyDescent="0.2">
      <c r="A64" s="198"/>
      <c r="B64" s="198"/>
      <c r="C64" s="198"/>
      <c r="D64" s="198"/>
      <c r="E64" s="198"/>
      <c r="F64" s="198"/>
      <c r="G64" s="198"/>
      <c r="H64" s="198"/>
      <c r="I64" s="198"/>
      <c r="J64" s="54"/>
    </row>
    <row r="65" spans="1:10" x14ac:dyDescent="0.2">
      <c r="A65" s="198"/>
      <c r="B65" s="198"/>
      <c r="C65" s="198"/>
      <c r="D65" s="198"/>
      <c r="E65" s="198"/>
      <c r="F65" s="198"/>
      <c r="G65" s="198"/>
      <c r="H65" s="198"/>
      <c r="I65" s="198"/>
      <c r="J65" s="275"/>
    </row>
    <row r="66" spans="1:10" x14ac:dyDescent="0.2">
      <c r="A66" s="198"/>
      <c r="B66" s="198"/>
      <c r="C66" s="198"/>
      <c r="D66" s="198"/>
      <c r="E66" s="198"/>
      <c r="F66" s="198"/>
      <c r="G66" s="198"/>
      <c r="H66" s="198"/>
      <c r="I66" s="198"/>
      <c r="J66" s="197"/>
    </row>
    <row r="67" spans="1:10" x14ac:dyDescent="0.2">
      <c r="A67" s="198"/>
      <c r="B67" s="198"/>
      <c r="C67" s="198"/>
      <c r="D67" s="198"/>
      <c r="E67" s="198"/>
      <c r="F67" s="198"/>
      <c r="G67" s="198"/>
      <c r="H67" s="198"/>
      <c r="I67" s="198"/>
      <c r="J67" s="197"/>
    </row>
    <row r="68" spans="1:10" x14ac:dyDescent="0.2">
      <c r="A68" s="198"/>
      <c r="B68" s="198"/>
      <c r="C68" s="198"/>
      <c r="D68" s="198"/>
      <c r="E68" s="198"/>
      <c r="F68" s="198"/>
      <c r="G68" s="198"/>
      <c r="H68" s="198"/>
      <c r="I68" s="198"/>
      <c r="J68" s="197"/>
    </row>
    <row r="69" spans="1:10" x14ac:dyDescent="0.2">
      <c r="A69" s="198"/>
      <c r="B69" s="198"/>
      <c r="C69" s="198"/>
      <c r="D69" s="198"/>
      <c r="E69" s="198"/>
      <c r="F69" s="198"/>
      <c r="G69" s="198"/>
      <c r="H69" s="198"/>
      <c r="I69" s="198"/>
      <c r="J69" s="198"/>
    </row>
    <row r="70" spans="1:10" x14ac:dyDescent="0.2">
      <c r="A70" s="198"/>
      <c r="B70" s="198"/>
      <c r="C70" s="198"/>
      <c r="D70" s="198"/>
      <c r="E70" s="198"/>
      <c r="F70" s="198"/>
      <c r="G70" s="198"/>
      <c r="H70" s="198"/>
      <c r="I70" s="198"/>
      <c r="J70" s="198"/>
    </row>
    <row r="71" spans="1:10" x14ac:dyDescent="0.2">
      <c r="A71" s="198"/>
      <c r="B71" s="198"/>
      <c r="C71" s="198"/>
      <c r="D71" s="198"/>
      <c r="E71" s="198"/>
      <c r="F71" s="198"/>
      <c r="G71" s="198"/>
      <c r="H71" s="198"/>
      <c r="I71" s="198"/>
      <c r="J71" s="198"/>
    </row>
    <row r="72" spans="1:10" x14ac:dyDescent="0.2">
      <c r="A72" s="198"/>
      <c r="B72" s="198"/>
      <c r="C72" s="198"/>
      <c r="D72" s="198"/>
      <c r="E72" s="198"/>
      <c r="F72" s="198"/>
      <c r="G72" s="198"/>
      <c r="H72" s="198"/>
      <c r="I72" s="198"/>
      <c r="J72" s="198"/>
    </row>
    <row r="73" spans="1:10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</row>
    <row r="74" spans="1:10" x14ac:dyDescent="0.2">
      <c r="A74" s="198"/>
      <c r="B74" s="198"/>
      <c r="C74" s="198"/>
      <c r="D74" s="198"/>
      <c r="E74" s="198"/>
      <c r="F74" s="198"/>
      <c r="G74" s="198"/>
      <c r="H74" s="198"/>
      <c r="I74" s="198"/>
      <c r="J74" s="198"/>
    </row>
    <row r="75" spans="1:10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</row>
    <row r="76" spans="1:10" x14ac:dyDescent="0.2">
      <c r="A76" s="198"/>
      <c r="B76" s="198"/>
      <c r="C76" s="198"/>
      <c r="D76" s="198"/>
      <c r="E76" s="198"/>
      <c r="F76" s="198"/>
      <c r="G76" s="198"/>
      <c r="H76" s="198"/>
      <c r="I76" s="198"/>
      <c r="J76" s="198"/>
    </row>
    <row r="77" spans="1:10" x14ac:dyDescent="0.2">
      <c r="A77" s="198"/>
      <c r="B77" s="198"/>
      <c r="C77" s="198"/>
      <c r="D77" s="198"/>
      <c r="E77" s="198"/>
      <c r="F77" s="198"/>
      <c r="G77" s="198"/>
      <c r="H77" s="198"/>
      <c r="I77" s="198"/>
      <c r="J77" s="198"/>
    </row>
    <row r="78" spans="1:10" x14ac:dyDescent="0.2">
      <c r="A78" s="198"/>
      <c r="B78" s="187"/>
      <c r="J78" s="198"/>
    </row>
    <row r="79" spans="1:10" x14ac:dyDescent="0.2">
      <c r="A79" s="198"/>
      <c r="C79" s="187"/>
      <c r="J79" s="198"/>
    </row>
    <row r="80" spans="1:10" x14ac:dyDescent="0.2">
      <c r="A80" s="198"/>
      <c r="J80" s="198"/>
    </row>
    <row r="81" spans="1:10" x14ac:dyDescent="0.2">
      <c r="A81" s="198"/>
      <c r="J81" s="198"/>
    </row>
    <row r="82" spans="1:10" x14ac:dyDescent="0.2">
      <c r="J82" s="198"/>
    </row>
    <row r="83" spans="1:10" x14ac:dyDescent="0.2">
      <c r="J83" s="198"/>
    </row>
  </sheetData>
  <protectedRanges>
    <protectedRange sqref="G6:J6" name="Område5_1"/>
    <protectedRange sqref="B8 G8:H8 E8 B26 G28:H28 E28" name="Område5_2"/>
  </protectedRanges>
  <mergeCells count="2">
    <mergeCell ref="C17:J17"/>
    <mergeCell ref="C25:J25"/>
  </mergeCells>
  <conditionalFormatting sqref="J58:J64">
    <cfRule type="containsText" dxfId="25" priority="25" operator="containsText" text="Fail">
      <formula>NOT(ISERROR(SEARCH("Fail",J58)))</formula>
    </cfRule>
    <cfRule type="containsText" dxfId="24" priority="26" operator="containsText" text="Pass">
      <formula>NOT(ISERROR(SEARCH("Pass",J58)))</formula>
    </cfRule>
  </conditionalFormatting>
  <conditionalFormatting sqref="H59:I59">
    <cfRule type="containsText" dxfId="23" priority="23" operator="containsText" text="Fail">
      <formula>NOT(ISERROR(SEARCH("Fail",H59)))</formula>
    </cfRule>
    <cfRule type="containsText" dxfId="22" priority="24" operator="containsText" text="Pass">
      <formula>NOT(ISERROR(SEARCH("Pass",H59)))</formula>
    </cfRule>
  </conditionalFormatting>
  <conditionalFormatting sqref="J54">
    <cfRule type="containsText" dxfId="21" priority="19" operator="containsText" text="Fail">
      <formula>NOT(ISERROR(SEARCH("Fail",J54)))</formula>
    </cfRule>
    <cfRule type="containsText" dxfId="20" priority="20" operator="containsText" text="Pass">
      <formula>NOT(ISERROR(SEARCH("Pass",J54)))</formula>
    </cfRule>
  </conditionalFormatting>
  <conditionalFormatting sqref="J55:J56">
    <cfRule type="containsText" dxfId="19" priority="17" operator="containsText" text="Fail">
      <formula>NOT(ISERROR(SEARCH("Fail",J55)))</formula>
    </cfRule>
    <cfRule type="containsText" dxfId="18" priority="18" operator="containsText" text="Pass">
      <formula>NOT(ISERROR(SEARCH("Pass",J55)))</formula>
    </cfRule>
  </conditionalFormatting>
  <conditionalFormatting sqref="J65">
    <cfRule type="containsText" dxfId="17" priority="21" operator="containsText" text="Fail">
      <formula>NOT(ISERROR(SEARCH("Fail",J65)))</formula>
    </cfRule>
    <cfRule type="containsText" dxfId="16" priority="22" operator="containsText" text="Pass">
      <formula>NOT(ISERROR(SEARCH("Pass",J65)))</formula>
    </cfRule>
  </conditionalFormatting>
  <conditionalFormatting sqref="J50">
    <cfRule type="containsText" dxfId="15" priority="13" operator="containsText" text="Fail">
      <formula>NOT(ISERROR(SEARCH("Fail",J50)))</formula>
    </cfRule>
    <cfRule type="containsText" dxfId="14" priority="14" operator="containsText" text="Pass">
      <formula>NOT(ISERROR(SEARCH("Pass",J50)))</formula>
    </cfRule>
  </conditionalFormatting>
  <conditionalFormatting sqref="J44">
    <cfRule type="containsText" dxfId="13" priority="15" operator="containsText" text="Fail">
      <formula>NOT(ISERROR(SEARCH("Fail",J44)))</formula>
    </cfRule>
    <cfRule type="containsText" dxfId="12" priority="16" operator="containsText" text="Pass">
      <formula>NOT(ISERROR(SEARCH("Pass",J44)))</formula>
    </cfRule>
  </conditionalFormatting>
  <conditionalFormatting sqref="J57">
    <cfRule type="containsText" dxfId="11" priority="11" operator="containsText" text="Fail">
      <formula>NOT(ISERROR(SEARCH("Fail",J57)))</formula>
    </cfRule>
    <cfRule type="containsText" dxfId="10" priority="12" operator="containsText" text="Pass">
      <formula>NOT(ISERROR(SEARCH("Pass",J57)))</formula>
    </cfRule>
  </conditionalFormatting>
  <conditionalFormatting sqref="H51:I51">
    <cfRule type="containsText" dxfId="9" priority="9" operator="containsText" text="Fail">
      <formula>NOT(ISERROR(SEARCH("Fail",H51)))</formula>
    </cfRule>
    <cfRule type="containsText" dxfId="8" priority="10" operator="containsText" text="Pass">
      <formula>NOT(ISERROR(SEARCH("Pass",H51)))</formula>
    </cfRule>
  </conditionalFormatting>
  <conditionalFormatting sqref="J16">
    <cfRule type="containsText" dxfId="7" priority="7" operator="containsText" text="Fail">
      <formula>NOT(ISERROR(SEARCH("Fail",J16)))</formula>
    </cfRule>
    <cfRule type="containsText" dxfId="6" priority="8" operator="containsText" text="Pass">
      <formula>NOT(ISERROR(SEARCH("Pass",J16)))</formula>
    </cfRule>
  </conditionalFormatting>
  <conditionalFormatting sqref="J42">
    <cfRule type="containsText" dxfId="5" priority="1" operator="containsText" text="Fail">
      <formula>NOT(ISERROR(SEARCH("Fail",J42)))</formula>
    </cfRule>
    <cfRule type="containsText" dxfId="4" priority="2" operator="containsText" text="Pass">
      <formula>NOT(ISERROR(SEARCH("Pass",J42)))</formula>
    </cfRule>
  </conditionalFormatting>
  <conditionalFormatting sqref="J24">
    <cfRule type="containsText" dxfId="3" priority="5" operator="containsText" text="Fail">
      <formula>NOT(ISERROR(SEARCH("Fail",J24)))</formula>
    </cfRule>
    <cfRule type="containsText" dxfId="2" priority="6" operator="containsText" text="Pass">
      <formula>NOT(ISERROR(SEARCH("Pass",J24)))</formula>
    </cfRule>
  </conditionalFormatting>
  <conditionalFormatting sqref="J33">
    <cfRule type="containsText" dxfId="1" priority="3" operator="containsText" text="Fail">
      <formula>NOT(ISERROR(SEARCH("Fail",J33)))</formula>
    </cfRule>
    <cfRule type="containsText" dxfId="0" priority="4" operator="containsText" text="Pass">
      <formula>NOT(ISERROR(SEARCH("Pass",J33)))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 xml:space="preserve">&amp;L&amp;G
&amp;R&amp;"Arial,Kursiv"&amp;8Klinikk for Bildediagnostikk
Avd Sykehuset Namsos/Levanger
Helse Nord-Trøndelag HF
</oddHeader>
    <oddFooter>&amp;L&amp;"Arial,Kursiv"&amp;8Kontroll utført av: Medisinsk Fysiker -----------
&amp;R&amp;"Arial,Kursiv"&amp;8
Dato for kontroll ______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5"/>
  <sheetViews>
    <sheetView workbookViewId="0">
      <selection activeCell="K33" sqref="K33"/>
    </sheetView>
  </sheetViews>
  <sheetFormatPr baseColWidth="10" defaultColWidth="11.42578125" defaultRowHeight="12.75" x14ac:dyDescent="0.2"/>
  <cols>
    <col min="1" max="16384" width="11.42578125" style="59"/>
  </cols>
  <sheetData>
    <row r="1" spans="1:3" ht="13.5" thickBot="1" x14ac:dyDescent="0.25"/>
    <row r="2" spans="1:3" ht="13.5" thickBot="1" x14ac:dyDescent="0.25">
      <c r="A2" s="440" t="s">
        <v>122</v>
      </c>
      <c r="B2" s="593"/>
      <c r="C2" s="594"/>
    </row>
    <row r="3" spans="1:3" x14ac:dyDescent="0.2">
      <c r="A3" s="595" t="s">
        <v>317</v>
      </c>
      <c r="B3" s="595"/>
      <c r="C3" s="595"/>
    </row>
    <row r="4" spans="1:3" x14ac:dyDescent="0.2">
      <c r="A4" s="59" t="s">
        <v>345</v>
      </c>
    </row>
    <row r="5" spans="1:3" x14ac:dyDescent="0.2">
      <c r="A5" s="59" t="s">
        <v>319</v>
      </c>
    </row>
    <row r="6" spans="1:3" x14ac:dyDescent="0.2">
      <c r="A6" s="55" t="s">
        <v>320</v>
      </c>
    </row>
    <row r="7" spans="1:3" x14ac:dyDescent="0.2">
      <c r="A7" s="55" t="s">
        <v>321</v>
      </c>
    </row>
    <row r="8" spans="1:3" x14ac:dyDescent="0.2">
      <c r="A8" s="55" t="s">
        <v>327</v>
      </c>
    </row>
    <row r="9" spans="1:3" x14ac:dyDescent="0.2">
      <c r="A9" s="55" t="s">
        <v>326</v>
      </c>
    </row>
    <row r="10" spans="1:3" x14ac:dyDescent="0.2">
      <c r="A10" s="55" t="s">
        <v>333</v>
      </c>
    </row>
    <row r="11" spans="1:3" ht="13.5" thickBot="1" x14ac:dyDescent="0.25">
      <c r="A11" s="55"/>
    </row>
    <row r="12" spans="1:3" ht="13.5" thickBot="1" x14ac:dyDescent="0.25">
      <c r="A12" s="440" t="s">
        <v>330</v>
      </c>
      <c r="B12" s="593"/>
      <c r="C12" s="594"/>
    </row>
    <row r="13" spans="1:3" x14ac:dyDescent="0.2">
      <c r="A13" s="55" t="s">
        <v>322</v>
      </c>
    </row>
    <row r="14" spans="1:3" x14ac:dyDescent="0.2">
      <c r="A14" s="55" t="s">
        <v>323</v>
      </c>
    </row>
    <row r="15" spans="1:3" x14ac:dyDescent="0.2">
      <c r="A15" s="55" t="s">
        <v>324</v>
      </c>
    </row>
    <row r="16" spans="1:3" x14ac:dyDescent="0.2">
      <c r="A16" s="55" t="s">
        <v>325</v>
      </c>
    </row>
    <row r="17" spans="1:4" x14ac:dyDescent="0.2">
      <c r="A17" s="55" t="s">
        <v>329</v>
      </c>
    </row>
    <row r="18" spans="1:4" x14ac:dyDescent="0.2">
      <c r="A18" s="662" t="s">
        <v>328</v>
      </c>
    </row>
    <row r="19" spans="1:4" x14ac:dyDescent="0.2">
      <c r="A19" s="55" t="s">
        <v>326</v>
      </c>
    </row>
    <row r="20" spans="1:4" x14ac:dyDescent="0.2">
      <c r="A20" s="55" t="s">
        <v>331</v>
      </c>
    </row>
    <row r="21" spans="1:4" x14ac:dyDescent="0.2">
      <c r="A21" s="55" t="s">
        <v>332</v>
      </c>
    </row>
    <row r="22" spans="1:4" x14ac:dyDescent="0.2">
      <c r="A22" s="59" t="s">
        <v>334</v>
      </c>
    </row>
    <row r="23" spans="1:4" ht="13.5" thickBot="1" x14ac:dyDescent="0.25"/>
    <row r="24" spans="1:4" ht="13.5" thickBot="1" x14ac:dyDescent="0.25">
      <c r="A24" s="785" t="s">
        <v>130</v>
      </c>
      <c r="B24" s="786"/>
      <c r="C24" s="786"/>
      <c r="D24" s="787"/>
    </row>
    <row r="25" spans="1:4" x14ac:dyDescent="0.2">
      <c r="A25" s="596" t="s">
        <v>342</v>
      </c>
      <c r="B25" s="446"/>
      <c r="C25" s="446"/>
      <c r="D25" s="446"/>
    </row>
    <row r="26" spans="1:4" x14ac:dyDescent="0.2">
      <c r="A26" s="55" t="s">
        <v>335</v>
      </c>
    </row>
    <row r="27" spans="1:4" x14ac:dyDescent="0.2">
      <c r="A27" s="55" t="s">
        <v>338</v>
      </c>
    </row>
    <row r="28" spans="1:4" x14ac:dyDescent="0.2">
      <c r="A28" s="55" t="s">
        <v>336</v>
      </c>
    </row>
    <row r="29" spans="1:4" x14ac:dyDescent="0.2">
      <c r="A29" s="55" t="s">
        <v>337</v>
      </c>
    </row>
    <row r="30" spans="1:4" x14ac:dyDescent="0.2">
      <c r="A30" s="55" t="s">
        <v>339</v>
      </c>
    </row>
    <row r="31" spans="1:4" x14ac:dyDescent="0.2">
      <c r="A31" s="55" t="s">
        <v>340</v>
      </c>
    </row>
    <row r="32" spans="1:4" x14ac:dyDescent="0.2">
      <c r="A32" s="55" t="s">
        <v>341</v>
      </c>
    </row>
    <row r="33" spans="1:12" x14ac:dyDescent="0.2">
      <c r="A33" s="55" t="s">
        <v>343</v>
      </c>
    </row>
    <row r="34" spans="1:12" ht="13.5" thickBot="1" x14ac:dyDescent="0.25"/>
    <row r="35" spans="1:12" ht="13.5" thickBot="1" x14ac:dyDescent="0.25">
      <c r="A35" s="785" t="s">
        <v>123</v>
      </c>
      <c r="B35" s="786"/>
      <c r="C35" s="786"/>
      <c r="D35" s="787"/>
    </row>
    <row r="36" spans="1:12" x14ac:dyDescent="0.2">
      <c r="A36" s="55" t="s">
        <v>344</v>
      </c>
    </row>
    <row r="37" spans="1:12" x14ac:dyDescent="0.2">
      <c r="A37" s="59" t="s">
        <v>371</v>
      </c>
    </row>
    <row r="38" spans="1:12" x14ac:dyDescent="0.2">
      <c r="A38" s="59" t="s">
        <v>346</v>
      </c>
    </row>
    <row r="39" spans="1:12" x14ac:dyDescent="0.2">
      <c r="A39" s="59" t="s">
        <v>347</v>
      </c>
    </row>
    <row r="40" spans="1:12" x14ac:dyDescent="0.2">
      <c r="A40" s="59" t="s">
        <v>348</v>
      </c>
    </row>
    <row r="41" spans="1:12" x14ac:dyDescent="0.2">
      <c r="A41" s="55" t="s">
        <v>343</v>
      </c>
    </row>
    <row r="42" spans="1:12" ht="13.5" thickBot="1" x14ac:dyDescent="0.25"/>
    <row r="43" spans="1:12" ht="13.5" thickBot="1" x14ac:dyDescent="0.25">
      <c r="A43" s="785" t="s">
        <v>42</v>
      </c>
      <c r="B43" s="786"/>
      <c r="C43" s="786"/>
      <c r="D43" s="787"/>
    </row>
    <row r="44" spans="1:12" x14ac:dyDescent="0.2">
      <c r="A44" s="55" t="s">
        <v>349</v>
      </c>
    </row>
    <row r="45" spans="1:12" x14ac:dyDescent="0.2">
      <c r="A45" s="55" t="s">
        <v>354</v>
      </c>
    </row>
    <row r="46" spans="1:12" x14ac:dyDescent="0.2">
      <c r="A46" s="55" t="s">
        <v>352</v>
      </c>
    </row>
    <row r="47" spans="1:12" x14ac:dyDescent="0.2">
      <c r="A47" s="55" t="s">
        <v>353</v>
      </c>
    </row>
    <row r="48" spans="1:12" x14ac:dyDescent="0.2">
      <c r="A48" s="55" t="s">
        <v>355</v>
      </c>
      <c r="L48" s="55"/>
    </row>
    <row r="49" spans="1:1" x14ac:dyDescent="0.2">
      <c r="A49" s="55" t="s">
        <v>356</v>
      </c>
    </row>
    <row r="50" spans="1:1" x14ac:dyDescent="0.2">
      <c r="A50" s="55" t="s">
        <v>357</v>
      </c>
    </row>
    <row r="51" spans="1:1" x14ac:dyDescent="0.2">
      <c r="A51" s="55" t="s">
        <v>350</v>
      </c>
    </row>
    <row r="52" spans="1:1" x14ac:dyDescent="0.2">
      <c r="A52" s="55" t="s">
        <v>351</v>
      </c>
    </row>
    <row r="53" spans="1:1" x14ac:dyDescent="0.2">
      <c r="A53" s="55" t="s">
        <v>358</v>
      </c>
    </row>
    <row r="54" spans="1:1" x14ac:dyDescent="0.2">
      <c r="A54" s="55" t="s">
        <v>359</v>
      </c>
    </row>
    <row r="55" spans="1:1" x14ac:dyDescent="0.2">
      <c r="A55" s="55" t="s">
        <v>343</v>
      </c>
    </row>
  </sheetData>
  <mergeCells count="3">
    <mergeCell ref="A24:D24"/>
    <mergeCell ref="A35:D35"/>
    <mergeCell ref="A43:D4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>
    <tabColor indexed="10"/>
  </sheetPr>
  <dimension ref="A1:G47"/>
  <sheetViews>
    <sheetView zoomScale="115" zoomScaleNormal="115" workbookViewId="0">
      <selection activeCell="J32" sqref="J32"/>
    </sheetView>
  </sheetViews>
  <sheetFormatPr baseColWidth="10" defaultColWidth="11.42578125" defaultRowHeight="11.25" x14ac:dyDescent="0.2"/>
  <cols>
    <col min="1" max="2" width="11.42578125" style="3"/>
    <col min="3" max="3" width="38.28515625" style="3" customWidth="1"/>
    <col min="4" max="4" width="11.42578125" style="4"/>
    <col min="5" max="5" width="11.42578125" style="3"/>
    <col min="6" max="6" width="11.42578125" style="4"/>
    <col min="7" max="16384" width="11.42578125" style="3"/>
  </cols>
  <sheetData>
    <row r="1" spans="1:6" x14ac:dyDescent="0.2">
      <c r="A1" s="6" t="s">
        <v>10</v>
      </c>
      <c r="D1" s="9" t="s">
        <v>15</v>
      </c>
      <c r="F1" s="9" t="s">
        <v>51</v>
      </c>
    </row>
    <row r="2" spans="1:6" x14ac:dyDescent="0.2">
      <c r="A2" s="841" t="s">
        <v>14</v>
      </c>
      <c r="B2" s="841"/>
      <c r="C2" s="841"/>
      <c r="D2" s="7">
        <v>0.05</v>
      </c>
      <c r="F2" s="4">
        <v>1</v>
      </c>
    </row>
    <row r="3" spans="1:6" x14ac:dyDescent="0.2">
      <c r="A3" s="841" t="s">
        <v>11</v>
      </c>
      <c r="B3" s="841"/>
      <c r="C3" s="841"/>
      <c r="D3" s="7">
        <v>0.05</v>
      </c>
      <c r="F3" s="4">
        <v>1</v>
      </c>
    </row>
    <row r="4" spans="1:6" x14ac:dyDescent="0.2">
      <c r="A4" s="841" t="s">
        <v>12</v>
      </c>
      <c r="B4" s="841"/>
      <c r="C4" s="841"/>
      <c r="D4" s="7">
        <v>0.1</v>
      </c>
      <c r="F4" s="4">
        <v>1</v>
      </c>
    </row>
    <row r="5" spans="1:6" x14ac:dyDescent="0.2">
      <c r="A5" s="841" t="s">
        <v>13</v>
      </c>
      <c r="B5" s="841"/>
      <c r="C5" s="841"/>
      <c r="D5" s="7">
        <v>0.1</v>
      </c>
      <c r="F5" s="4">
        <v>1</v>
      </c>
    </row>
    <row r="6" spans="1:6" x14ac:dyDescent="0.2">
      <c r="A6" s="841" t="s">
        <v>17</v>
      </c>
      <c r="B6" s="841"/>
      <c r="C6" s="841"/>
      <c r="D6" s="7">
        <v>0.05</v>
      </c>
      <c r="F6" s="4">
        <v>1.3</v>
      </c>
    </row>
    <row r="7" spans="1:6" x14ac:dyDescent="0.2">
      <c r="A7" s="841" t="s">
        <v>0</v>
      </c>
      <c r="B7" s="841"/>
      <c r="C7" s="841"/>
      <c r="D7" s="5">
        <v>2.5</v>
      </c>
      <c r="E7" s="3" t="s">
        <v>16</v>
      </c>
      <c r="F7" s="4">
        <v>1.4</v>
      </c>
    </row>
    <row r="8" spans="1:6" x14ac:dyDescent="0.2">
      <c r="A8" s="6" t="s">
        <v>9</v>
      </c>
      <c r="B8" s="2"/>
      <c r="C8" s="2"/>
      <c r="D8" s="5"/>
    </row>
    <row r="9" spans="1:6" x14ac:dyDescent="0.2">
      <c r="A9" s="841" t="s">
        <v>19</v>
      </c>
      <c r="B9" s="841"/>
      <c r="C9" s="841"/>
      <c r="D9" s="7">
        <v>0.05</v>
      </c>
      <c r="F9" s="4">
        <v>1</v>
      </c>
    </row>
    <row r="10" spans="1:6" x14ac:dyDescent="0.2">
      <c r="A10" s="841" t="s">
        <v>18</v>
      </c>
      <c r="B10" s="841"/>
      <c r="C10" s="841"/>
      <c r="D10" s="7">
        <v>0.1</v>
      </c>
      <c r="F10" s="4">
        <v>1</v>
      </c>
    </row>
    <row r="11" spans="1:6" x14ac:dyDescent="0.2">
      <c r="A11" s="841" t="s">
        <v>4</v>
      </c>
      <c r="B11" s="841"/>
      <c r="C11" s="841"/>
      <c r="D11" s="7">
        <v>0.05</v>
      </c>
      <c r="F11" s="4">
        <v>1</v>
      </c>
    </row>
    <row r="12" spans="1:6" x14ac:dyDescent="0.2">
      <c r="A12" s="841" t="s">
        <v>3</v>
      </c>
      <c r="B12" s="841"/>
      <c r="C12" s="841"/>
      <c r="D12" s="7">
        <v>0.1</v>
      </c>
      <c r="F12" s="4">
        <v>1</v>
      </c>
    </row>
    <row r="13" spans="1:6" x14ac:dyDescent="0.2">
      <c r="A13" s="8" t="s">
        <v>1</v>
      </c>
      <c r="B13" s="2"/>
      <c r="C13" s="2"/>
      <c r="D13" s="5"/>
    </row>
    <row r="14" spans="1:6" x14ac:dyDescent="0.2">
      <c r="A14" s="841" t="s">
        <v>5</v>
      </c>
      <c r="B14" s="841"/>
      <c r="C14" s="841"/>
      <c r="D14" s="7">
        <v>0.05</v>
      </c>
      <c r="F14" s="4">
        <v>1</v>
      </c>
    </row>
    <row r="15" spans="1:6" x14ac:dyDescent="0.2">
      <c r="A15" s="841" t="s">
        <v>20</v>
      </c>
      <c r="B15" s="841"/>
      <c r="C15" s="841"/>
      <c r="D15" s="7">
        <v>0.1</v>
      </c>
      <c r="F15" s="4">
        <v>1</v>
      </c>
    </row>
    <row r="16" spans="1:6" x14ac:dyDescent="0.2">
      <c r="A16" s="841" t="s">
        <v>6</v>
      </c>
      <c r="B16" s="841"/>
      <c r="C16" s="841"/>
      <c r="D16" s="7">
        <v>0.1</v>
      </c>
    </row>
    <row r="17" spans="1:7" x14ac:dyDescent="0.2">
      <c r="A17" s="841" t="s">
        <v>21</v>
      </c>
      <c r="B17" s="841"/>
      <c r="C17" s="841"/>
      <c r="D17" s="7">
        <v>0.1</v>
      </c>
      <c r="F17" s="4">
        <v>1</v>
      </c>
    </row>
    <row r="20" spans="1:7" x14ac:dyDescent="0.2">
      <c r="A20" s="6" t="s">
        <v>33</v>
      </c>
    </row>
    <row r="21" spans="1:7" x14ac:dyDescent="0.2">
      <c r="A21" s="841" t="s">
        <v>40</v>
      </c>
      <c r="B21" s="841"/>
      <c r="C21" s="841"/>
      <c r="D21" s="7">
        <v>0.1</v>
      </c>
      <c r="F21" s="4">
        <v>2</v>
      </c>
    </row>
    <row r="22" spans="1:7" x14ac:dyDescent="0.2">
      <c r="A22" s="840" t="s">
        <v>39</v>
      </c>
      <c r="B22" s="840"/>
      <c r="C22" s="840"/>
      <c r="D22" s="7">
        <v>0.1</v>
      </c>
      <c r="F22" s="4">
        <v>2</v>
      </c>
    </row>
    <row r="23" spans="1:7" x14ac:dyDescent="0.2">
      <c r="A23" s="840" t="s">
        <v>38</v>
      </c>
      <c r="B23" s="840"/>
      <c r="C23" s="840"/>
      <c r="D23" s="7">
        <v>0.1</v>
      </c>
      <c r="F23" s="4">
        <v>2</v>
      </c>
      <c r="G23" s="15"/>
    </row>
    <row r="24" spans="1:7" x14ac:dyDescent="0.2">
      <c r="A24" s="840" t="s">
        <v>37</v>
      </c>
      <c r="B24" s="840"/>
      <c r="C24" s="840"/>
      <c r="D24" s="7">
        <v>0.1</v>
      </c>
      <c r="F24" s="4">
        <v>2</v>
      </c>
      <c r="G24" s="15"/>
    </row>
    <row r="26" spans="1:7" x14ac:dyDescent="0.2">
      <c r="A26" s="3" t="s">
        <v>46</v>
      </c>
      <c r="D26" s="7">
        <v>0.1</v>
      </c>
    </row>
    <row r="30" spans="1:7" x14ac:dyDescent="0.2">
      <c r="A30" s="3" t="s">
        <v>49</v>
      </c>
      <c r="D30" s="4">
        <v>1</v>
      </c>
      <c r="E30" s="52" t="s">
        <v>7</v>
      </c>
      <c r="F30" s="4">
        <v>1</v>
      </c>
    </row>
    <row r="31" spans="1:7" s="13" customFormat="1" x14ac:dyDescent="0.2">
      <c r="A31" s="13" t="s">
        <v>50</v>
      </c>
      <c r="D31" s="14">
        <v>0.01</v>
      </c>
      <c r="F31" s="4">
        <v>1.3</v>
      </c>
    </row>
    <row r="32" spans="1:7" s="13" customFormat="1" x14ac:dyDescent="0.2">
      <c r="A32" s="600" t="s">
        <v>413</v>
      </c>
      <c r="D32" s="14">
        <v>0.02</v>
      </c>
      <c r="F32" s="4">
        <v>4</v>
      </c>
    </row>
    <row r="33" spans="1:6" s="13" customFormat="1" x14ac:dyDescent="0.2">
      <c r="A33" s="600" t="s">
        <v>48</v>
      </c>
      <c r="D33" s="4"/>
      <c r="F33" s="4"/>
    </row>
    <row r="34" spans="1:6" s="13" customFormat="1" x14ac:dyDescent="0.2">
      <c r="D34" s="4"/>
      <c r="F34" s="4"/>
    </row>
    <row r="35" spans="1:6" s="13" customFormat="1" x14ac:dyDescent="0.2">
      <c r="D35" s="4"/>
      <c r="F35" s="4"/>
    </row>
    <row r="36" spans="1:6" s="13" customFormat="1" x14ac:dyDescent="0.2">
      <c r="D36" s="4"/>
      <c r="F36" s="4"/>
    </row>
    <row r="37" spans="1:6" s="13" customFormat="1" x14ac:dyDescent="0.2">
      <c r="D37" s="4"/>
      <c r="F37" s="4"/>
    </row>
    <row r="38" spans="1:6" s="13" customFormat="1" x14ac:dyDescent="0.2">
      <c r="D38" s="4"/>
      <c r="F38" s="4"/>
    </row>
    <row r="39" spans="1:6" s="13" customFormat="1" x14ac:dyDescent="0.2">
      <c r="A39" s="4" t="s">
        <v>51</v>
      </c>
      <c r="D39" s="4"/>
      <c r="F39" s="4"/>
    </row>
    <row r="40" spans="1:6" s="13" customFormat="1" x14ac:dyDescent="0.2">
      <c r="A40" s="13">
        <v>1</v>
      </c>
      <c r="B40" s="13" t="s">
        <v>47</v>
      </c>
      <c r="D40" s="4"/>
      <c r="F40" s="4"/>
    </row>
    <row r="41" spans="1:6" s="13" customFormat="1" x14ac:dyDescent="0.2">
      <c r="A41" s="13">
        <v>2</v>
      </c>
      <c r="B41" s="600" t="s">
        <v>364</v>
      </c>
      <c r="D41" s="4"/>
      <c r="F41" s="4"/>
    </row>
    <row r="42" spans="1:6" s="13" customFormat="1" x14ac:dyDescent="0.2">
      <c r="A42" s="13">
        <v>3</v>
      </c>
      <c r="B42" s="600" t="s">
        <v>363</v>
      </c>
      <c r="D42" s="4"/>
      <c r="F42" s="4"/>
    </row>
    <row r="43" spans="1:6" s="13" customFormat="1" x14ac:dyDescent="0.2">
      <c r="A43" s="13">
        <v>4</v>
      </c>
      <c r="B43" s="600" t="s">
        <v>365</v>
      </c>
      <c r="D43" s="4"/>
      <c r="F43" s="4"/>
    </row>
    <row r="44" spans="1:6" s="13" customFormat="1" x14ac:dyDescent="0.2">
      <c r="A44" s="13">
        <v>5</v>
      </c>
      <c r="B44" s="600" t="s">
        <v>412</v>
      </c>
      <c r="D44" s="4"/>
      <c r="F44" s="4"/>
    </row>
    <row r="45" spans="1:6" s="13" customFormat="1" x14ac:dyDescent="0.2">
      <c r="D45" s="4"/>
      <c r="F45" s="4"/>
    </row>
    <row r="46" spans="1:6" s="13" customFormat="1" x14ac:dyDescent="0.2">
      <c r="D46" s="4"/>
      <c r="F46" s="4"/>
    </row>
    <row r="47" spans="1:6" s="13" customFormat="1" x14ac:dyDescent="0.2">
      <c r="D47" s="4"/>
      <c r="F47" s="4"/>
    </row>
  </sheetData>
  <mergeCells count="18">
    <mergeCell ref="A15:C15"/>
    <mergeCell ref="A21:C21"/>
    <mergeCell ref="A22:C22"/>
    <mergeCell ref="A23:C23"/>
    <mergeCell ref="A24:C24"/>
    <mergeCell ref="A2:C2"/>
    <mergeCell ref="A3:C3"/>
    <mergeCell ref="A4:C4"/>
    <mergeCell ref="A5:C5"/>
    <mergeCell ref="A6:C6"/>
    <mergeCell ref="A7:C7"/>
    <mergeCell ref="A9:C9"/>
    <mergeCell ref="A10:C10"/>
    <mergeCell ref="A16:C16"/>
    <mergeCell ref="A17:C17"/>
    <mergeCell ref="A11:C11"/>
    <mergeCell ref="A12:C12"/>
    <mergeCell ref="A14:C1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>
    <tabColor indexed="10"/>
  </sheetPr>
  <dimension ref="A1:E30"/>
  <sheetViews>
    <sheetView workbookViewId="0">
      <selection activeCell="F41" sqref="F41"/>
    </sheetView>
  </sheetViews>
  <sheetFormatPr baseColWidth="10" defaultRowHeight="12.75" x14ac:dyDescent="0.2"/>
  <cols>
    <col min="1" max="1" width="13.7109375" customWidth="1"/>
  </cols>
  <sheetData>
    <row r="1" spans="1:5" x14ac:dyDescent="0.2">
      <c r="A1" s="10" t="s">
        <v>25</v>
      </c>
      <c r="B1" s="1" t="s">
        <v>26</v>
      </c>
    </row>
    <row r="2" spans="1:5" x14ac:dyDescent="0.2">
      <c r="A2" s="59" t="s">
        <v>142</v>
      </c>
    </row>
    <row r="3" spans="1:5" x14ac:dyDescent="0.2">
      <c r="A3" s="59" t="s">
        <v>143</v>
      </c>
    </row>
    <row r="4" spans="1:5" x14ac:dyDescent="0.2">
      <c r="A4" s="59" t="s">
        <v>144</v>
      </c>
    </row>
    <row r="5" spans="1:5" x14ac:dyDescent="0.2">
      <c r="A5" s="59" t="s">
        <v>145</v>
      </c>
    </row>
    <row r="6" spans="1:5" x14ac:dyDescent="0.2">
      <c r="A6" s="59" t="s">
        <v>146</v>
      </c>
    </row>
    <row r="8" spans="1:5" x14ac:dyDescent="0.2">
      <c r="A8" s="10" t="s">
        <v>23</v>
      </c>
    </row>
    <row r="9" spans="1:5" x14ac:dyDescent="0.2">
      <c r="A9" t="s">
        <v>24</v>
      </c>
    </row>
    <row r="10" spans="1:5" x14ac:dyDescent="0.2">
      <c r="A10" t="s">
        <v>8</v>
      </c>
    </row>
    <row r="12" spans="1:5" x14ac:dyDescent="0.2">
      <c r="A12" s="253" t="s">
        <v>272</v>
      </c>
      <c r="C12" s="253" t="s">
        <v>273</v>
      </c>
      <c r="E12" s="59" t="s">
        <v>280</v>
      </c>
    </row>
    <row r="13" spans="1:5" x14ac:dyDescent="0.2">
      <c r="A13" s="11">
        <v>0</v>
      </c>
      <c r="C13" s="11">
        <v>0</v>
      </c>
      <c r="E13" s="192" t="s">
        <v>24</v>
      </c>
    </row>
    <row r="14" spans="1:5" x14ac:dyDescent="0.2">
      <c r="A14" s="11">
        <v>1</v>
      </c>
      <c r="C14" s="11">
        <v>1</v>
      </c>
      <c r="E14" s="192" t="s">
        <v>8</v>
      </c>
    </row>
    <row r="15" spans="1:5" x14ac:dyDescent="0.2">
      <c r="A15" s="11">
        <v>2</v>
      </c>
      <c r="C15" s="11">
        <v>2</v>
      </c>
    </row>
    <row r="16" spans="1:5" x14ac:dyDescent="0.2">
      <c r="A16" s="11">
        <v>3</v>
      </c>
      <c r="C16" s="11">
        <v>3</v>
      </c>
    </row>
    <row r="17" spans="1:3" x14ac:dyDescent="0.2">
      <c r="A17" s="11">
        <v>4</v>
      </c>
      <c r="C17" s="11">
        <v>4</v>
      </c>
    </row>
    <row r="18" spans="1:3" x14ac:dyDescent="0.2">
      <c r="A18" s="11">
        <v>5</v>
      </c>
      <c r="C18" s="11">
        <v>5</v>
      </c>
    </row>
    <row r="19" spans="1:3" x14ac:dyDescent="0.2">
      <c r="A19" s="11">
        <v>6</v>
      </c>
      <c r="C19" s="11">
        <v>6</v>
      </c>
    </row>
    <row r="20" spans="1:3" x14ac:dyDescent="0.2">
      <c r="A20" s="11" t="s">
        <v>44</v>
      </c>
      <c r="C20" s="11">
        <v>7</v>
      </c>
    </row>
    <row r="21" spans="1:3" x14ac:dyDescent="0.2">
      <c r="A21" s="11"/>
      <c r="C21" s="11" t="s">
        <v>44</v>
      </c>
    </row>
    <row r="22" spans="1:3" x14ac:dyDescent="0.2">
      <c r="A22" s="11"/>
    </row>
    <row r="23" spans="1:3" x14ac:dyDescent="0.2">
      <c r="A23" s="12" t="s">
        <v>45</v>
      </c>
    </row>
    <row r="24" spans="1:3" x14ac:dyDescent="0.2">
      <c r="A24" s="11" t="s">
        <v>24</v>
      </c>
    </row>
    <row r="25" spans="1:3" x14ac:dyDescent="0.2">
      <c r="A25" s="11" t="s">
        <v>8</v>
      </c>
    </row>
    <row r="26" spans="1:3" x14ac:dyDescent="0.2">
      <c r="A26" s="11" t="s">
        <v>44</v>
      </c>
    </row>
    <row r="27" spans="1:3" x14ac:dyDescent="0.2">
      <c r="A27" s="11"/>
    </row>
    <row r="28" spans="1:3" x14ac:dyDescent="0.2">
      <c r="A28" s="11"/>
    </row>
    <row r="29" spans="1:3" x14ac:dyDescent="0.2">
      <c r="A29" s="11"/>
    </row>
    <row r="30" spans="1:3" x14ac:dyDescent="0.2">
      <c r="A30" s="11"/>
    </row>
  </sheetData>
  <phoneticPr fontId="1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0">
    <tabColor rgb="FFFF0000"/>
  </sheetPr>
  <dimension ref="A1:H33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16.140625" style="20" customWidth="1"/>
    <col min="2" max="8" width="11.42578125" style="20"/>
    <col min="9" max="9" width="12.7109375" style="20" bestFit="1" customWidth="1"/>
    <col min="10" max="11" width="11.42578125" style="20"/>
    <col min="12" max="12" width="12.7109375" style="20" bestFit="1" customWidth="1"/>
    <col min="13" max="16384" width="11.42578125" style="20"/>
  </cols>
  <sheetData>
    <row r="1" spans="1:8" ht="21" x14ac:dyDescent="0.35">
      <c r="A1" s="16" t="s">
        <v>423</v>
      </c>
      <c r="B1" s="17"/>
      <c r="C1" s="17"/>
      <c r="D1" s="18"/>
      <c r="E1" s="19"/>
    </row>
    <row r="2" spans="1:8" ht="16.5" thickBot="1" x14ac:dyDescent="0.3">
      <c r="A2" s="21" t="s">
        <v>69</v>
      </c>
      <c r="B2" s="481">
        <v>45435</v>
      </c>
      <c r="C2" s="22" t="s">
        <v>72</v>
      </c>
      <c r="D2" s="727">
        <v>1.1499999999999999</v>
      </c>
      <c r="E2" s="19"/>
      <c r="F2" s="23"/>
      <c r="G2" s="24"/>
      <c r="H2" s="24"/>
    </row>
    <row r="3" spans="1:8" x14ac:dyDescent="0.25">
      <c r="A3" s="25" t="s">
        <v>67</v>
      </c>
      <c r="B3" s="26"/>
      <c r="C3" s="26" t="s">
        <v>68</v>
      </c>
      <c r="D3" s="27"/>
      <c r="E3" s="19"/>
    </row>
    <row r="4" spans="1:8" x14ac:dyDescent="0.25">
      <c r="A4" s="28" t="s">
        <v>60</v>
      </c>
      <c r="B4" s="29" t="s">
        <v>2</v>
      </c>
      <c r="C4" s="30" t="s">
        <v>66</v>
      </c>
      <c r="D4" s="31" t="s">
        <v>71</v>
      </c>
      <c r="E4" s="19"/>
    </row>
    <row r="5" spans="1:8" x14ac:dyDescent="0.25">
      <c r="A5" s="32" t="s">
        <v>61</v>
      </c>
      <c r="B5" s="33">
        <v>40</v>
      </c>
      <c r="C5" s="482">
        <v>1.17</v>
      </c>
      <c r="D5" s="34">
        <f>$D$2*C5</f>
        <v>1.3454999999999999</v>
      </c>
      <c r="E5" s="19"/>
    </row>
    <row r="6" spans="1:8" x14ac:dyDescent="0.25">
      <c r="A6" s="32" t="s">
        <v>62</v>
      </c>
      <c r="B6" s="33">
        <v>70</v>
      </c>
      <c r="C6" s="482">
        <v>1</v>
      </c>
      <c r="D6" s="34">
        <f>$D$2*C6</f>
        <v>1.1499999999999999</v>
      </c>
      <c r="E6" s="19"/>
    </row>
    <row r="7" spans="1:8" x14ac:dyDescent="0.25">
      <c r="A7" s="32" t="s">
        <v>63</v>
      </c>
      <c r="B7" s="33">
        <v>100</v>
      </c>
      <c r="C7" s="482">
        <v>1</v>
      </c>
      <c r="D7" s="34">
        <f>$D$2*C7</f>
        <v>1.1499999999999999</v>
      </c>
      <c r="E7" s="19"/>
    </row>
    <row r="8" spans="1:8" x14ac:dyDescent="0.25">
      <c r="A8" s="32" t="s">
        <v>64</v>
      </c>
      <c r="B8" s="33">
        <v>120</v>
      </c>
      <c r="C8" s="482">
        <v>1.03</v>
      </c>
      <c r="D8" s="34">
        <f>$D$2*C8</f>
        <v>1.1844999999999999</v>
      </c>
      <c r="E8" s="19"/>
    </row>
    <row r="9" spans="1:8" ht="15.75" thickBot="1" x14ac:dyDescent="0.3">
      <c r="A9" s="35" t="s">
        <v>65</v>
      </c>
      <c r="B9" s="36">
        <v>150</v>
      </c>
      <c r="C9" s="483">
        <v>1.0900000000000001</v>
      </c>
      <c r="D9" s="37">
        <f>$D$2*C9</f>
        <v>1.2535000000000001</v>
      </c>
      <c r="E9" s="19"/>
    </row>
    <row r="12" spans="1:8" ht="15.75" x14ac:dyDescent="0.25">
      <c r="A12" s="38" t="s">
        <v>73</v>
      </c>
    </row>
    <row r="13" spans="1:8" ht="15.75" thickBot="1" x14ac:dyDescent="0.3">
      <c r="A13" s="19"/>
      <c r="B13" s="19"/>
      <c r="C13" s="19"/>
      <c r="D13" s="19"/>
    </row>
    <row r="14" spans="1:8" ht="15.75" x14ac:dyDescent="0.25">
      <c r="A14" s="39" t="s">
        <v>2</v>
      </c>
      <c r="B14" s="40" t="s">
        <v>70</v>
      </c>
      <c r="C14" s="41"/>
      <c r="D14" s="19"/>
    </row>
    <row r="15" spans="1:8" s="41" customFormat="1" x14ac:dyDescent="0.25">
      <c r="A15" s="32">
        <v>40</v>
      </c>
      <c r="B15" s="43">
        <f t="shared" ref="B15:B26" si="0">$A$33*A15^3+$B$33*A15^2+$C$33*A15+$D$33</f>
        <v>1.3448557422969181</v>
      </c>
      <c r="C15" s="42"/>
    </row>
    <row r="16" spans="1:8" x14ac:dyDescent="0.25">
      <c r="A16" s="32">
        <v>50</v>
      </c>
      <c r="B16" s="43">
        <f t="shared" si="0"/>
        <v>1.2539751400560224</v>
      </c>
      <c r="C16" s="19"/>
    </row>
    <row r="17" spans="1:5" x14ac:dyDescent="0.25">
      <c r="A17" s="32">
        <v>60</v>
      </c>
      <c r="B17" s="43">
        <f t="shared" si="0"/>
        <v>1.1912647058823531</v>
      </c>
      <c r="C17" s="19"/>
    </row>
    <row r="18" spans="1:5" x14ac:dyDescent="0.25">
      <c r="A18" s="32">
        <v>70</v>
      </c>
      <c r="B18" s="43">
        <f t="shared" si="0"/>
        <v>1.1528347338935576</v>
      </c>
      <c r="C18" s="19"/>
    </row>
    <row r="19" spans="1:5" x14ac:dyDescent="0.25">
      <c r="A19" s="32">
        <v>80</v>
      </c>
      <c r="B19" s="43">
        <f t="shared" si="0"/>
        <v>1.1347955182072829</v>
      </c>
      <c r="C19" s="19"/>
    </row>
    <row r="20" spans="1:5" x14ac:dyDescent="0.25">
      <c r="A20" s="32">
        <v>90</v>
      </c>
      <c r="B20" s="43">
        <f t="shared" si="0"/>
        <v>1.1332573529411769</v>
      </c>
      <c r="C20" s="19"/>
    </row>
    <row r="21" spans="1:5" x14ac:dyDescent="0.25">
      <c r="A21" s="32">
        <v>100</v>
      </c>
      <c r="B21" s="43">
        <f t="shared" si="0"/>
        <v>1.1443305322128854</v>
      </c>
      <c r="C21" s="19"/>
    </row>
    <row r="22" spans="1:5" x14ac:dyDescent="0.25">
      <c r="A22" s="32">
        <v>110</v>
      </c>
      <c r="B22" s="43">
        <f t="shared" si="0"/>
        <v>1.1641253501400564</v>
      </c>
      <c r="C22" s="19"/>
    </row>
    <row r="23" spans="1:5" x14ac:dyDescent="0.25">
      <c r="A23" s="32">
        <v>120</v>
      </c>
      <c r="B23" s="43">
        <f t="shared" si="0"/>
        <v>1.1887521008403361</v>
      </c>
      <c r="C23" s="19"/>
    </row>
    <row r="24" spans="1:5" x14ac:dyDescent="0.25">
      <c r="A24" s="32">
        <v>130</v>
      </c>
      <c r="B24" s="43">
        <f t="shared" si="0"/>
        <v>1.2143210784313729</v>
      </c>
      <c r="C24" s="19"/>
    </row>
    <row r="25" spans="1:5" x14ac:dyDescent="0.25">
      <c r="A25" s="32">
        <v>140</v>
      </c>
      <c r="B25" s="43">
        <f t="shared" si="0"/>
        <v>1.236942577030812</v>
      </c>
      <c r="C25" s="19"/>
    </row>
    <row r="26" spans="1:5" ht="15.75" thickBot="1" x14ac:dyDescent="0.3">
      <c r="A26" s="35">
        <v>150</v>
      </c>
      <c r="B26" s="43">
        <f t="shared" si="0"/>
        <v>1.2527268907563025</v>
      </c>
      <c r="C26" s="19"/>
    </row>
    <row r="27" spans="1:5" x14ac:dyDescent="0.25">
      <c r="A27" s="19"/>
      <c r="B27" s="19"/>
      <c r="C27" s="19"/>
      <c r="D27" s="19"/>
    </row>
    <row r="28" spans="1:5" x14ac:dyDescent="0.25">
      <c r="A28" s="19"/>
      <c r="B28" s="19"/>
      <c r="C28" s="19"/>
      <c r="D28" s="19"/>
    </row>
    <row r="29" spans="1:5" x14ac:dyDescent="0.25">
      <c r="A29" s="19"/>
      <c r="B29" s="19"/>
      <c r="C29" s="19"/>
      <c r="D29" s="19"/>
    </row>
    <row r="30" spans="1:5" ht="15.75" thickBot="1" x14ac:dyDescent="0.3">
      <c r="A30" s="19"/>
      <c r="B30" s="19"/>
      <c r="C30" s="19"/>
      <c r="D30" s="19"/>
    </row>
    <row r="31" spans="1:5" x14ac:dyDescent="0.25">
      <c r="A31" s="44" t="s">
        <v>74</v>
      </c>
      <c r="B31" s="45"/>
      <c r="C31" s="45"/>
      <c r="D31" s="45"/>
      <c r="E31" s="46"/>
    </row>
    <row r="32" spans="1:5" x14ac:dyDescent="0.25">
      <c r="A32" s="47" t="s">
        <v>59</v>
      </c>
      <c r="B32" s="19" t="s">
        <v>58</v>
      </c>
      <c r="C32" s="19" t="s">
        <v>57</v>
      </c>
      <c r="D32" s="19" t="s">
        <v>56</v>
      </c>
      <c r="E32" s="48"/>
    </row>
    <row r="33" spans="1:5" ht="15.75" thickBot="1" x14ac:dyDescent="0.3">
      <c r="A33" s="49">
        <f t="array" ref="A33:D33">LINEST(D5:D9,B5:B9^{1,2,3})</f>
        <v>-6.4828431372548537E-7</v>
      </c>
      <c r="B33" s="50">
        <v>2.3809348739495641E-4</v>
      </c>
      <c r="C33" s="50">
        <v>-2.6561939775910207E-2</v>
      </c>
      <c r="D33" s="50">
        <v>2.0678739495798273</v>
      </c>
      <c r="E33" s="51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Navngitte områder</vt:lpstr>
      </vt:variant>
      <vt:variant>
        <vt:i4>19</vt:i4>
      </vt:variant>
    </vt:vector>
  </HeadingPairs>
  <TitlesOfParts>
    <vt:vector size="37" baseType="lpstr">
      <vt:lpstr>Start</vt:lpstr>
      <vt:lpstr>Målinger</vt:lpstr>
      <vt:lpstr>RaysafeData</vt:lpstr>
      <vt:lpstr>Sjekk Riktig Kammer</vt:lpstr>
      <vt:lpstr>Ghost Test</vt:lpstr>
      <vt:lpstr>U1_Forside</vt:lpstr>
      <vt:lpstr>U2_Oppsummering</vt:lpstr>
      <vt:lpstr>U3_Lys_Felt_DAP</vt:lpstr>
      <vt:lpstr>U4_Rør_Gen 1(2)</vt:lpstr>
      <vt:lpstr>U5_Rør_Gen 2(2)</vt:lpstr>
      <vt:lpstr>U6_AEC Bord</vt:lpstr>
      <vt:lpstr>U7_AEC Vegg</vt:lpstr>
      <vt:lpstr>U8_Bildekvalitet</vt:lpstr>
      <vt:lpstr>U9_kV-Diagram</vt:lpstr>
      <vt:lpstr>Prosedyrer</vt:lpstr>
      <vt:lpstr>Toleranser</vt:lpstr>
      <vt:lpstr>Hjelpfil</vt:lpstr>
      <vt:lpstr>DAP koeffisienter</vt:lpstr>
      <vt:lpstr>U3_Lys_Felt_DAP!_Ref399158193</vt:lpstr>
      <vt:lpstr>'U5_Rør_Gen 2(2)'!_Ref399158193</vt:lpstr>
      <vt:lpstr>'U6_AEC Bord'!_Ref399158193</vt:lpstr>
      <vt:lpstr>'U7_AEC Vegg'!_Ref399158193</vt:lpstr>
      <vt:lpstr>U8_Bildekvalitet!_Ref399158193</vt:lpstr>
      <vt:lpstr>'U9_kV-Diagram'!_Ref399158193</vt:lpstr>
      <vt:lpstr>Bildekval_Dynamisk_område</vt:lpstr>
      <vt:lpstr>Bildekval_LKO</vt:lpstr>
      <vt:lpstr>Bildekvalitet</vt:lpstr>
      <vt:lpstr>Homogenitet</vt:lpstr>
      <vt:lpstr>Ja</vt:lpstr>
      <vt:lpstr>Kontrolltype</vt:lpstr>
      <vt:lpstr>Lysfelt</vt:lpstr>
      <vt:lpstr>Perp</vt:lpstr>
      <vt:lpstr>tull</vt:lpstr>
      <vt:lpstr>U1_Forside!Utskriftsområde</vt:lpstr>
      <vt:lpstr>U3_Lys_Felt_DAP!Utskriftsområde</vt:lpstr>
      <vt:lpstr>'U5_Rør_Gen 2(2)'!Utskriftsområde</vt:lpstr>
      <vt:lpstr>U8_Bildekvalitet!Utskriftsområde</vt:lpstr>
    </vt:vector>
  </TitlesOfParts>
  <Company>Ullevål universitetssykehus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Kjernlie Sæther</dc:creator>
  <cp:lastModifiedBy>Berg, Karolina</cp:lastModifiedBy>
  <cp:lastPrinted>2016-03-14T12:37:58Z</cp:lastPrinted>
  <dcterms:created xsi:type="dcterms:W3CDTF">2006-01-16T11:53:43Z</dcterms:created>
  <dcterms:modified xsi:type="dcterms:W3CDTF">2025-01-07T09:54:11Z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